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20DED98C-8A7F-4C0D-9372-74A7864DD57D}" xr6:coauthVersionLast="45" xr6:coauthVersionMax="45" xr10:uidLastSave="{00000000-0000-0000-0000-000000000000}"/>
  <bookViews>
    <workbookView xWindow="-108" yWindow="-108" windowWidth="23256" windowHeight="12576" tabRatio="702" xr2:uid="{00000000-000D-0000-FFFF-FFFF00000000}"/>
  </bookViews>
  <sheets>
    <sheet name="Front page" sheetId="1" r:id="rId1"/>
    <sheet name="Table of contents" sheetId="11" r:id="rId2"/>
    <sheet name="Key Figures" sheetId="3" r:id="rId3"/>
    <sheet name="Income Statement" sheetId="4" r:id="rId4"/>
    <sheet name="Balance Sheet" sheetId="7" r:id="rId5"/>
    <sheet name="Statement of Cash Flows" sheetId="10" r:id="rId6"/>
    <sheet name="Segment Report ytd" sheetId="15" r:id="rId7"/>
    <sheet name="Segment Report quarter" sheetId="17" r:id="rId8"/>
    <sheet name="Changes in Equity" sheetId="16" r:id="rId9"/>
    <sheet name="Comp. Income" sheetId="14" r:id="rId10"/>
    <sheet name="IR Contact" sheetId="5" r:id="rId11"/>
    <sheet name="Back Banner" sheetId="6" r:id="rId12"/>
  </sheets>
  <definedNames>
    <definedName name="_xlnm.Print_Area" localSheetId="4">'Balance Sheet'!$A$1:$J$55</definedName>
    <definedName name="_xlnm.Print_Area" localSheetId="8">'Changes in Equity'!$A$1:$W$32</definedName>
    <definedName name="_xlnm.Print_Area" localSheetId="5">'Statement of Cash Flows'!$A$1:$M$37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6" l="1"/>
  <c r="H26" i="16"/>
  <c r="L26" i="10"/>
  <c r="J26" i="10"/>
  <c r="K31" i="10" l="1"/>
  <c r="M31" i="10"/>
  <c r="L25" i="10" l="1"/>
  <c r="L31" i="10" s="1"/>
  <c r="J25" i="10"/>
  <c r="J31" i="10" s="1"/>
  <c r="S30" i="16" l="1"/>
  <c r="W30" i="16" s="1"/>
  <c r="S29" i="16"/>
  <c r="W29" i="16" s="1"/>
  <c r="Q28" i="16"/>
  <c r="S28" i="16" s="1"/>
  <c r="W28" i="16" s="1"/>
  <c r="Q27" i="16"/>
  <c r="S27" i="16" s="1"/>
  <c r="W27" i="16" s="1"/>
  <c r="E27" i="16"/>
  <c r="S26" i="16"/>
  <c r="W26" i="16" s="1"/>
  <c r="W25" i="16"/>
  <c r="S25" i="16"/>
  <c r="S24" i="16"/>
  <c r="W24" i="16" s="1"/>
  <c r="S22" i="16"/>
  <c r="W22" i="16" s="1"/>
  <c r="I27" i="3" l="1"/>
  <c r="H27" i="3"/>
  <c r="I15" i="17" l="1"/>
  <c r="G15" i="17"/>
  <c r="L12" i="14" l="1"/>
  <c r="J11" i="14" l="1"/>
  <c r="E15" i="17"/>
  <c r="E12" i="17"/>
  <c r="M12" i="17" s="1"/>
  <c r="N21" i="15"/>
  <c r="M21" i="15"/>
  <c r="L19" i="15"/>
  <c r="L22" i="15" s="1"/>
  <c r="N18" i="15"/>
  <c r="M18" i="15"/>
  <c r="L16" i="15"/>
  <c r="K16" i="15"/>
  <c r="K19" i="15" s="1"/>
  <c r="K22" i="15" s="1"/>
  <c r="N15" i="15"/>
  <c r="M15" i="15"/>
  <c r="I13" i="15"/>
  <c r="I16" i="15" s="1"/>
  <c r="I19" i="15" s="1"/>
  <c r="I22" i="15" s="1"/>
  <c r="H13" i="15"/>
  <c r="H16" i="15" s="1"/>
  <c r="H19" i="15" s="1"/>
  <c r="H22" i="15" s="1"/>
  <c r="N12" i="15"/>
  <c r="M12" i="15"/>
  <c r="N11" i="15"/>
  <c r="M11" i="15"/>
  <c r="J9" i="15"/>
  <c r="J13" i="15" s="1"/>
  <c r="J16" i="15" s="1"/>
  <c r="J19" i="15" s="1"/>
  <c r="J22" i="15" s="1"/>
  <c r="I9" i="15"/>
  <c r="H9" i="15"/>
  <c r="G9" i="15"/>
  <c r="G13" i="15" s="1"/>
  <c r="G16" i="15" s="1"/>
  <c r="G19" i="15" s="1"/>
  <c r="G22" i="15" s="1"/>
  <c r="F9" i="15"/>
  <c r="F13" i="15" s="1"/>
  <c r="F16" i="15" s="1"/>
  <c r="F19" i="15" s="1"/>
  <c r="F22" i="15" s="1"/>
  <c r="N8" i="15"/>
  <c r="M8" i="15"/>
  <c r="N7" i="15"/>
  <c r="M7" i="15"/>
  <c r="M9" i="15" s="1"/>
  <c r="N21" i="17"/>
  <c r="M21" i="17"/>
  <c r="N18" i="17"/>
  <c r="M18" i="17"/>
  <c r="L16" i="17"/>
  <c r="L19" i="17" s="1"/>
  <c r="L22" i="17" s="1"/>
  <c r="K16" i="17"/>
  <c r="K19" i="17" s="1"/>
  <c r="K22" i="17" s="1"/>
  <c r="N15" i="17"/>
  <c r="M15" i="17"/>
  <c r="N12" i="17"/>
  <c r="N11" i="17"/>
  <c r="M11" i="17"/>
  <c r="J9" i="17"/>
  <c r="J13" i="17" s="1"/>
  <c r="J16" i="17" s="1"/>
  <c r="J19" i="17" s="1"/>
  <c r="J22" i="17" s="1"/>
  <c r="I9" i="17"/>
  <c r="I13" i="17" s="1"/>
  <c r="I16" i="17" s="1"/>
  <c r="I19" i="17" s="1"/>
  <c r="I22" i="17" s="1"/>
  <c r="H9" i="17"/>
  <c r="H13" i="17" s="1"/>
  <c r="H16" i="17" s="1"/>
  <c r="H19" i="17" s="1"/>
  <c r="H22" i="17" s="1"/>
  <c r="G9" i="17"/>
  <c r="G13" i="17" s="1"/>
  <c r="G16" i="17" s="1"/>
  <c r="G19" i="17" s="1"/>
  <c r="G22" i="17" s="1"/>
  <c r="F9" i="17"/>
  <c r="F13" i="17" s="1"/>
  <c r="F16" i="17" s="1"/>
  <c r="F19" i="17" s="1"/>
  <c r="F22" i="17" s="1"/>
  <c r="N8" i="17"/>
  <c r="M8" i="17"/>
  <c r="N7" i="17"/>
  <c r="N9" i="17" s="1"/>
  <c r="N13" i="17" s="1"/>
  <c r="N16" i="17" s="1"/>
  <c r="N19" i="17" s="1"/>
  <c r="N22" i="17" s="1"/>
  <c r="N26" i="17" s="1"/>
  <c r="N29" i="17" s="1"/>
  <c r="N32" i="17" s="1"/>
  <c r="M7" i="17"/>
  <c r="M9" i="17" s="1"/>
  <c r="N9" i="15" l="1"/>
  <c r="N13" i="15" s="1"/>
  <c r="N16" i="15" s="1"/>
  <c r="N19" i="15" s="1"/>
  <c r="N22" i="15" s="1"/>
  <c r="N26" i="15" s="1"/>
  <c r="N29" i="15" s="1"/>
  <c r="N32" i="15" s="1"/>
  <c r="M13" i="15"/>
  <c r="M16" i="15" s="1"/>
  <c r="M19" i="15" s="1"/>
  <c r="M22" i="15" s="1"/>
  <c r="M26" i="15" s="1"/>
  <c r="M29" i="15" s="1"/>
  <c r="M32" i="15" s="1"/>
  <c r="M13" i="17"/>
  <c r="M16" i="17" s="1"/>
  <c r="M19" i="17" s="1"/>
  <c r="M22" i="17" s="1"/>
  <c r="M26" i="17" s="1"/>
  <c r="M29" i="17" s="1"/>
  <c r="M32" i="17" s="1"/>
  <c r="K12" i="4" l="1"/>
  <c r="H19" i="4"/>
  <c r="H12" i="4"/>
  <c r="H9" i="4"/>
  <c r="J50" i="7"/>
  <c r="H50" i="7"/>
  <c r="H4" i="3" l="1"/>
  <c r="L10" i="14" l="1"/>
  <c r="L13" i="14" s="1"/>
  <c r="L15" i="14" s="1"/>
  <c r="L17" i="14" s="1"/>
  <c r="W20" i="16" l="1"/>
  <c r="W16" i="16"/>
  <c r="W15" i="16"/>
  <c r="W14" i="16"/>
  <c r="W13" i="16"/>
  <c r="W12" i="16"/>
  <c r="W11" i="16"/>
  <c r="W8" i="16"/>
  <c r="W6" i="16"/>
  <c r="J8" i="14" l="1"/>
  <c r="E18" i="16"/>
  <c r="J4" i="4" l="1"/>
  <c r="H13" i="3" l="1"/>
  <c r="E32" i="16" l="1"/>
  <c r="H52" i="7" l="1"/>
  <c r="I25" i="4" l="1"/>
  <c r="J9" i="14" l="1"/>
  <c r="J7" i="14"/>
  <c r="K4" i="3"/>
  <c r="K15" i="3" s="1"/>
  <c r="L4" i="3"/>
  <c r="L13" i="3" s="1"/>
  <c r="L15" i="3" l="1"/>
  <c r="K13" i="3"/>
  <c r="K8" i="4" l="1"/>
  <c r="K10" i="4" s="1"/>
  <c r="K15" i="4" s="1"/>
  <c r="K18" i="4" s="1"/>
  <c r="H8" i="4"/>
  <c r="H10" i="4" s="1"/>
  <c r="H15" i="4" s="1"/>
  <c r="H18" i="4" s="1"/>
  <c r="K20" i="4" l="1"/>
  <c r="H20" i="4"/>
  <c r="H22" i="4" s="1"/>
  <c r="W32" i="16" l="1"/>
  <c r="U32" i="16"/>
  <c r="S32" i="16"/>
  <c r="Q32" i="16"/>
  <c r="O32" i="16"/>
  <c r="N32" i="16"/>
  <c r="M32" i="16"/>
  <c r="L32" i="16"/>
  <c r="J32" i="16"/>
  <c r="H32" i="16"/>
  <c r="F32" i="16"/>
  <c r="U18" i="16" l="1"/>
  <c r="S18" i="16"/>
  <c r="Q18" i="16"/>
  <c r="O18" i="16"/>
  <c r="N18" i="16"/>
  <c r="M18" i="16"/>
  <c r="L18" i="16"/>
  <c r="J18" i="16"/>
  <c r="H18" i="16"/>
  <c r="F18" i="16"/>
  <c r="W18" i="16" l="1"/>
  <c r="J52" i="7"/>
  <c r="L8" i="4"/>
  <c r="L10" i="4" s="1"/>
  <c r="L15" i="4" s="1"/>
  <c r="L18" i="4" s="1"/>
  <c r="L20" i="4" s="1"/>
  <c r="L23" i="4" s="1"/>
  <c r="I8" i="4"/>
  <c r="I10" i="4" s="1"/>
  <c r="I15" i="4" s="1"/>
  <c r="I18" i="4" s="1"/>
  <c r="I20" i="4" s="1"/>
  <c r="I23" i="4" s="1"/>
  <c r="I4" i="3"/>
  <c r="I13" i="3" s="1"/>
  <c r="E9" i="17" l="1"/>
  <c r="E13" i="17" s="1"/>
  <c r="E16" i="17" s="1"/>
  <c r="E19" i="17" s="1"/>
  <c r="E22" i="17" s="1"/>
  <c r="H34" i="7" l="1"/>
  <c r="J34" i="7"/>
  <c r="H43" i="7"/>
  <c r="J43" i="7"/>
  <c r="E9" i="15"/>
  <c r="E13" i="15" s="1"/>
  <c r="E16" i="15" s="1"/>
  <c r="E19" i="15" s="1"/>
  <c r="E22" i="15" s="1"/>
  <c r="J54" i="7" l="1"/>
  <c r="H54" i="7"/>
  <c r="M12" i="14"/>
  <c r="M10" i="14"/>
  <c r="M24" i="10"/>
  <c r="L24" i="10"/>
  <c r="M9" i="10"/>
  <c r="M15" i="10" s="1"/>
  <c r="L9" i="10"/>
  <c r="L15" i="10" s="1"/>
  <c r="L26" i="4"/>
  <c r="L25" i="4"/>
  <c r="M19" i="4"/>
  <c r="M17" i="4"/>
  <c r="M16" i="4"/>
  <c r="M14" i="4"/>
  <c r="M13" i="4"/>
  <c r="M12" i="4"/>
  <c r="M11" i="4"/>
  <c r="M9" i="4"/>
  <c r="M7" i="4"/>
  <c r="M6" i="4"/>
  <c r="M5" i="4"/>
  <c r="M4" i="4"/>
  <c r="M37" i="10" l="1"/>
  <c r="M32" i="10"/>
  <c r="M34" i="10" s="1"/>
  <c r="M36" i="10" s="1"/>
  <c r="L37" i="10"/>
  <c r="L32" i="10"/>
  <c r="L34" i="10" s="1"/>
  <c r="L36" i="10" s="1"/>
  <c r="M13" i="14"/>
  <c r="M15" i="14" s="1"/>
  <c r="M17" i="14" s="1"/>
  <c r="M8" i="4"/>
  <c r="M10" i="4" l="1"/>
  <c r="M15" i="4"/>
  <c r="M20" i="4" l="1"/>
  <c r="M18" i="4"/>
  <c r="M17" i="3" l="1"/>
  <c r="M14" i="3"/>
  <c r="M12" i="3"/>
  <c r="M11" i="3"/>
  <c r="M10" i="3"/>
  <c r="M9" i="3"/>
  <c r="M6" i="3"/>
  <c r="M5" i="3"/>
  <c r="M4" i="3" l="1"/>
  <c r="K12" i="14" l="1"/>
  <c r="K10" i="14"/>
  <c r="J12" i="14"/>
  <c r="J10" i="14"/>
  <c r="J13" i="14" l="1"/>
  <c r="J15" i="14" s="1"/>
  <c r="J17" i="14" s="1"/>
  <c r="K13" i="14"/>
  <c r="K15" i="14" s="1"/>
  <c r="K17" i="14" s="1"/>
  <c r="K24" i="10" l="1"/>
  <c r="J24" i="10"/>
  <c r="K9" i="10"/>
  <c r="K15" i="10" s="1"/>
  <c r="J9" i="10"/>
  <c r="J15" i="10" s="1"/>
  <c r="K37" i="10" l="1"/>
  <c r="K32" i="10"/>
  <c r="K34" i="10" s="1"/>
  <c r="K36" i="10" s="1"/>
  <c r="J37" i="10"/>
  <c r="J32" i="10"/>
  <c r="J34" i="10" s="1"/>
  <c r="J36" i="10" s="1"/>
  <c r="H21" i="7"/>
  <c r="J21" i="7"/>
  <c r="J11" i="7"/>
  <c r="H11" i="7"/>
  <c r="H23" i="7" l="1"/>
  <c r="J23" i="7"/>
  <c r="I26" i="4"/>
  <c r="H26" i="4"/>
  <c r="J26" i="4" s="1"/>
  <c r="H25" i="4"/>
  <c r="J25" i="4" s="1"/>
  <c r="J22" i="4"/>
  <c r="J7" i="4"/>
  <c r="J9" i="4"/>
  <c r="J11" i="4"/>
  <c r="J12" i="4"/>
  <c r="J13" i="4"/>
  <c r="J14" i="4"/>
  <c r="J17" i="4"/>
  <c r="J19" i="4"/>
  <c r="J5" i="4"/>
  <c r="J6" i="4"/>
  <c r="J10" i="4" l="1"/>
  <c r="J8" i="4"/>
  <c r="J17" i="3"/>
  <c r="J14" i="3"/>
  <c r="J12" i="3"/>
  <c r="J10" i="3"/>
  <c r="J11" i="3"/>
  <c r="J9" i="3"/>
  <c r="J5" i="3"/>
  <c r="J6" i="3"/>
  <c r="J15" i="4" l="1"/>
  <c r="J4" i="3"/>
  <c r="H15" i="3"/>
  <c r="I15" i="3"/>
  <c r="J20" i="4" l="1"/>
  <c r="J18" i="4"/>
  <c r="K22" i="4"/>
  <c r="M22" i="4" s="1"/>
  <c r="K25" i="4" l="1"/>
  <c r="M25" i="4" s="1"/>
  <c r="K26" i="4"/>
  <c r="M26" i="4" s="1"/>
</calcChain>
</file>

<file path=xl/sharedStrings.xml><?xml version="1.0" encoding="utf-8"?>
<sst xmlns="http://schemas.openxmlformats.org/spreadsheetml/2006/main" count="319" uniqueCount="205">
  <si>
    <t>Digital Business Platform</t>
  </si>
  <si>
    <t>Adabas &amp; Natural</t>
  </si>
  <si>
    <t>Consulting</t>
  </si>
  <si>
    <t>EBIT*</t>
  </si>
  <si>
    <t>Free Cash Flow</t>
  </si>
  <si>
    <t>Software AG</t>
  </si>
  <si>
    <t>.</t>
  </si>
  <si>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</si>
  <si>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</si>
  <si>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</si>
  <si>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</si>
  <si>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</si>
  <si>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</si>
  <si>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</si>
  <si>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</si>
  <si>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</si>
  <si>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</si>
  <si>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TOTAL</t>
  </si>
  <si>
    <t>Digital Business 
Platform</t>
  </si>
  <si>
    <t>Financial Information</t>
  </si>
  <si>
    <t>Table of contents</t>
  </si>
  <si>
    <t>*EBIT: Net income + Income taxes + other taxes + financial expense, net</t>
  </si>
  <si>
    <t>Revenue</t>
  </si>
  <si>
    <t>Change
in %</t>
  </si>
  <si>
    <t>Product revenue</t>
  </si>
  <si>
    <t>Services</t>
  </si>
  <si>
    <t>Other</t>
  </si>
  <si>
    <t>Business Line</t>
  </si>
  <si>
    <t>as % of revenue</t>
  </si>
  <si>
    <t>Net income</t>
  </si>
  <si>
    <t>Employees (Full time equivalent)</t>
  </si>
  <si>
    <t>of which in Germany</t>
  </si>
  <si>
    <t>R&amp;D</t>
  </si>
  <si>
    <t>Balance sheet</t>
  </si>
  <si>
    <t>Dec. 31, 2014</t>
  </si>
  <si>
    <t>Total assets</t>
  </si>
  <si>
    <t>Cash and cash equivalents</t>
  </si>
  <si>
    <t>Net debt</t>
  </si>
  <si>
    <t>Shareholders' equity</t>
  </si>
  <si>
    <t>as % of total assets</t>
  </si>
  <si>
    <t>Licenses</t>
  </si>
  <si>
    <t>Maintenance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</si>
  <si>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</si>
  <si>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</si>
  <si>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</si>
  <si>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</si>
  <si>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</si>
  <si>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</si>
  <si>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</si>
  <si>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Operating result</t>
  </si>
  <si>
    <t>Financial expense, net</t>
  </si>
  <si>
    <t>Profit before income taxes</t>
  </si>
  <si>
    <t>Income taxes</t>
  </si>
  <si>
    <t>Thereof attributable to shareholders of Software AG</t>
  </si>
  <si>
    <t>Thereof attributable to non-controlling interest</t>
  </si>
  <si>
    <t>Earnings per share (EUR, basic)</t>
  </si>
  <si>
    <t>Earnings per share (EUR, diluted)</t>
  </si>
  <si>
    <t>Weighted average number of shares outstanding (basic)</t>
  </si>
  <si>
    <t>Weighted average number of shares outstanding (diluted)</t>
  </si>
  <si>
    <t>in EUR thousands</t>
  </si>
  <si>
    <t>ASSETS (in EUR thousands)</t>
  </si>
  <si>
    <t>Current assets</t>
  </si>
  <si>
    <t>Non-current assets</t>
  </si>
  <si>
    <t>Intangible assets</t>
  </si>
  <si>
    <t>Goodwill</t>
  </si>
  <si>
    <t>Property, plant and equipment</t>
  </si>
  <si>
    <t>Total Assets:</t>
  </si>
  <si>
    <t>EQUITY AND LIABILITIES (in EUR thousands)</t>
  </si>
  <si>
    <t>Current liabilities</t>
  </si>
  <si>
    <t>Financial liabilities</t>
  </si>
  <si>
    <t>Other provisions</t>
  </si>
  <si>
    <t>Tax liabilities</t>
  </si>
  <si>
    <t>Non-current liabilities</t>
  </si>
  <si>
    <t>Equity</t>
  </si>
  <si>
    <t>Share capital</t>
  </si>
  <si>
    <t>Capital reserve</t>
  </si>
  <si>
    <t>Retained earnings</t>
  </si>
  <si>
    <t>Other reserves</t>
  </si>
  <si>
    <t>Treasury shares</t>
  </si>
  <si>
    <t>Share attributable to shareholders of Software AG</t>
  </si>
  <si>
    <t>Non-controlling interest</t>
  </si>
  <si>
    <t>Total Equity and Liabilities:</t>
  </si>
  <si>
    <t>Net financial expense</t>
  </si>
  <si>
    <t>Amortization/depreciation of non-current assets</t>
  </si>
  <si>
    <t>Other non-cash expense and income</t>
  </si>
  <si>
    <t>Operating cash flow before changes in working capital</t>
  </si>
  <si>
    <t>Changes in payables and other liabilities</t>
  </si>
  <si>
    <t>Income taxes paid</t>
  </si>
  <si>
    <t>Interest paid</t>
  </si>
  <si>
    <t>Interest received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</si>
  <si>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</si>
  <si>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</si>
  <si>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</si>
  <si>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Proceeds from the sale of disposal group</t>
  </si>
  <si>
    <t>Payment for acquisitions, net</t>
  </si>
  <si>
    <t>Net cash used in investing activities</t>
  </si>
  <si>
    <t>Purchase of treasury stock (incl. hedge premiums paid)</t>
  </si>
  <si>
    <t>Dividends paid</t>
  </si>
  <si>
    <t>Additions to financial liabilities</t>
  </si>
  <si>
    <t>Repayments of financial liabilities</t>
  </si>
  <si>
    <t>Net cash provided by/used in financing activities</t>
  </si>
  <si>
    <t>Change in cash and cash equivalents from cash relevant transactions</t>
  </si>
  <si>
    <t>Currency translation adjustment
des Finanzmittelfonds</t>
  </si>
  <si>
    <t>Net change in cash and cash equivalents</t>
  </si>
  <si>
    <t>Cash and cash equivalents at the beginning of the period</t>
  </si>
  <si>
    <t>Cash and cash equivalents at the end of period</t>
  </si>
  <si>
    <t>Reconciliation</t>
  </si>
  <si>
    <t>Cost of sales</t>
  </si>
  <si>
    <t>Segment contribution</t>
  </si>
  <si>
    <t>Sales, Marketing &amp; Distribution 
expenses</t>
  </si>
  <si>
    <t>Segment result</t>
  </si>
  <si>
    <t>Other income, net</t>
  </si>
  <si>
    <t>Income Taxes</t>
  </si>
  <si>
    <t>Common shares outstanding (no.)</t>
  </si>
  <si>
    <t>Currency translation differences</t>
  </si>
  <si>
    <t>Fair value measurement of securities and derivatives</t>
  </si>
  <si>
    <t>Actuarial gains/losses from defined benefit plans</t>
  </si>
  <si>
    <t>Currency translation gains/losses from net investments in foreign operations</t>
  </si>
  <si>
    <t>Attributable to shareholders of Software AG</t>
  </si>
  <si>
    <t>Non-controlling interests</t>
  </si>
  <si>
    <t>Total</t>
  </si>
  <si>
    <t>Equity as of January 1, 2014</t>
  </si>
  <si>
    <t xml:space="preserve">Comprehensive income </t>
  </si>
  <si>
    <t>Transactions with equity holders</t>
  </si>
  <si>
    <t>Dividend payment</t>
  </si>
  <si>
    <t>New shares issued</t>
  </si>
  <si>
    <t>Stock options</t>
  </si>
  <si>
    <t>Issue and disposal of treasury stock</t>
  </si>
  <si>
    <t>Purchase of treasury stock</t>
  </si>
  <si>
    <t>Transactions between shareholders</t>
  </si>
  <si>
    <t>Equity as of January 1, 2015</t>
  </si>
  <si>
    <t>Net gain/loss on remeasuring financial assets</t>
  </si>
  <si>
    <t>Net loss/gain arising from translating net investments in foreign operations</t>
  </si>
  <si>
    <t>Items that may be reclassified subsequently to profit or loss</t>
  </si>
  <si>
    <t>Net actuarial gain/loss and asset caps on defined benefit plans</t>
  </si>
  <si>
    <t>Items that will not be reclassified to profit or loss subsequently</t>
  </si>
  <si>
    <t>Other comprehensive income</t>
  </si>
  <si>
    <t>Total comprehensive income</t>
  </si>
  <si>
    <t>Thereof attributable to non-controlling interests</t>
  </si>
  <si>
    <t xml:space="preserve">Telephone: </t>
  </si>
  <si>
    <t>Germany</t>
  </si>
  <si>
    <t>p. 3</t>
  </si>
  <si>
    <t>p. 4</t>
  </si>
  <si>
    <t>p. 5</t>
  </si>
  <si>
    <t>p. 6</t>
  </si>
  <si>
    <t>p. 7</t>
  </si>
  <si>
    <t>p. 8</t>
  </si>
  <si>
    <t>p. 9</t>
  </si>
  <si>
    <t>p. 10</t>
  </si>
  <si>
    <t>(unaudited)</t>
  </si>
  <si>
    <t>Sale of treasury stock</t>
  </si>
  <si>
    <t>EPS € basic [diluted]</t>
  </si>
  <si>
    <t>Acquisition of non controlling interest</t>
  </si>
  <si>
    <t>Sales, Marketing &amp; Distribution expenses</t>
  </si>
  <si>
    <t>Q4 / 2015</t>
  </si>
  <si>
    <t>January 27, 2015</t>
  </si>
  <si>
    <t>Key figures as of December 31, 2015</t>
  </si>
  <si>
    <t>Consolidated balance sheet as of December 31, 2015</t>
  </si>
  <si>
    <t>Segment report for the forth quarter 2015</t>
  </si>
  <si>
    <t>Segment report for the twelve months ended December 31, 2015</t>
  </si>
  <si>
    <t>Consolidated statement of cash flows for the twelve months ended December 31, 2015</t>
  </si>
  <si>
    <t>Consolidated statement of changes in equity for the twelve months ended December 31, 2015</t>
  </si>
  <si>
    <t>Statement of comprehensive income for the twelve months ended December 31, 2015</t>
  </si>
  <si>
    <r>
      <t xml:space="preserve">KEY FIGURES as of December 31, 2015 </t>
    </r>
    <r>
      <rPr>
        <sz val="9"/>
        <rFont val="Arial"/>
        <family val="2"/>
      </rPr>
      <t>(IFRS, unaudited)</t>
    </r>
  </si>
  <si>
    <r>
      <t xml:space="preserve">CONSOLIDATED BALANCE SHEET as of December 31, 2015 </t>
    </r>
    <r>
      <rPr>
        <sz val="9"/>
        <rFont val="Arial"/>
        <family val="2"/>
      </rPr>
      <t>(IFRS, unaudited)</t>
    </r>
  </si>
  <si>
    <r>
      <t xml:space="preserve">SEGMENT REPORT for the forth quarter 2015 </t>
    </r>
    <r>
      <rPr>
        <sz val="9"/>
        <rFont val="Arial"/>
        <family val="2"/>
      </rPr>
      <t>(IFRS, unaudited)</t>
    </r>
  </si>
  <si>
    <r>
      <t>STATEMENT OF COMPREHENSIVE INCOME for the twelve months ended December 31, 2015</t>
    </r>
    <r>
      <rPr>
        <sz val="9"/>
        <rFont val="Arial"/>
        <family val="2"/>
      </rPr>
      <t xml:space="preserve"> (IFRS, unaudited)</t>
    </r>
  </si>
  <si>
    <r>
      <t xml:space="preserve">CONSOLIDATED STATEMENT OF CHANGES IN EQUITY for the twelve months ended December 31, 2015 </t>
    </r>
    <r>
      <rPr>
        <sz val="9"/>
        <rFont val="Arial"/>
        <family val="2"/>
      </rPr>
      <t>(IFRS, unaudited)</t>
    </r>
  </si>
  <si>
    <r>
      <t>SEGMENT REPORT for the twelve months ended December 31, 2015</t>
    </r>
    <r>
      <rPr>
        <sz val="9"/>
        <rFont val="Arial"/>
        <family val="2"/>
      </rPr>
      <t xml:space="preserve"> (IFRS, unaudited)</t>
    </r>
  </si>
  <si>
    <r>
      <t xml:space="preserve">CONSOLIDATED STATEMENT OF CASH FLOWS for the twelve months ended December 31, 2015 </t>
    </r>
    <r>
      <rPr>
        <sz val="9"/>
        <rFont val="Arial"/>
        <family val="2"/>
      </rPr>
      <t>(IFRS, unaudited)</t>
    </r>
  </si>
  <si>
    <r>
      <t xml:space="preserve">CONSOLIDATED INCOME STATEMENT for the twelve months ended December 31, 2015 </t>
    </r>
    <r>
      <rPr>
        <sz val="9"/>
        <rFont val="Arial"/>
        <family val="2"/>
      </rPr>
      <t>(IFRS, unaudited)</t>
    </r>
  </si>
  <si>
    <t>Consolidated income statement for the twelve months ended December 31, 2015</t>
  </si>
  <si>
    <t>12 months
2015</t>
  </si>
  <si>
    <t>12 months
2014</t>
  </si>
  <si>
    <t>Q4 2015</t>
  </si>
  <si>
    <t>Q4 2014</t>
  </si>
  <si>
    <t>Dec. 31, 2015</t>
  </si>
  <si>
    <t>12 months 2015</t>
  </si>
  <si>
    <t>12 months 2014</t>
  </si>
  <si>
    <t>twelve months</t>
  </si>
  <si>
    <t>Equity as of December 31, 2014</t>
  </si>
  <si>
    <t>Equity as of December 31, 2015</t>
  </si>
  <si>
    <t>1,39 [1,39]</t>
  </si>
  <si>
    <t>0,60  [0,60]</t>
  </si>
  <si>
    <t>Other financial assets</t>
  </si>
  <si>
    <t>Trade and other receivables</t>
  </si>
  <si>
    <t>Other non-financial assets</t>
  </si>
  <si>
    <t>Tax assets</t>
  </si>
  <si>
    <t>Deferred tax assets</t>
  </si>
  <si>
    <t>Trade and other payables</t>
  </si>
  <si>
    <t>Deferred income / revenue</t>
  </si>
  <si>
    <t>Non-financial liabilities</t>
  </si>
  <si>
    <t>Provisions for employee benefits</t>
  </si>
  <si>
    <t>Deferred tax liabilities</t>
  </si>
  <si>
    <t>1,78  [1,78]</t>
  </si>
  <si>
    <t>0,73  [0,73]</t>
  </si>
  <si>
    <t>28%  [28%]</t>
  </si>
  <si>
    <t>22%  [22%]</t>
  </si>
  <si>
    <t>Other income / expense, net</t>
  </si>
  <si>
    <t>Changes in receivables and other current assets</t>
  </si>
  <si>
    <t>Proceeds from the sale of other financial assets</t>
  </si>
  <si>
    <t>Purchase of other financial assets</t>
  </si>
  <si>
    <t>Proceeds from the sale of current other financial assets</t>
  </si>
  <si>
    <t>Purchase of current other financial assets</t>
  </si>
  <si>
    <t>in EUR millions (unless otherwise stated)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</si>
</sst>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458">
    <xf numFmtId="0" fontId="0" fillId="0" borderId="0" xfId="0"/>
    <xf numFmtId="0" fontId="0" fillId="0" borderId="0" xfId="0" applyAlignment="1">
      <alignment horizontal="right" vertical="top"/>
    </xf>
    <xf numFmtId="0" fontId="1" fillId="0" borderId="0" xfId="4" applyFont="1" applyBorder="1" applyAlignment="1">
      <alignment wrapText="1"/>
    </xf>
    <xf numFmtId="0" fontId="5" fillId="0" borderId="0" xfId="0" applyFont="1"/>
    <xf numFmtId="0" fontId="6" fillId="0" borderId="0" xfId="0" applyFont="1"/>
    <xf numFmtId="14" fontId="7" fillId="0" borderId="0" xfId="0" applyNumberFormat="1" applyFont="1"/>
    <xf numFmtId="14" fontId="8" fillId="0" borderId="0" xfId="0" applyNumberFormat="1" applyFont="1"/>
    <xf numFmtId="0" fontId="10" fillId="0" borderId="0" xfId="0" applyFont="1"/>
    <xf numFmtId="0" fontId="1" fillId="0" borderId="0" xfId="0" applyFont="1"/>
    <xf numFmtId="0" fontId="11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2" fillId="0" borderId="0" xfId="0" applyFont="1"/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9" fontId="12" fillId="0" borderId="18" xfId="0" applyNumberFormat="1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18" xfId="0" applyFont="1" applyBorder="1" applyAlignment="1">
      <alignment horizontal="center" vertical="center"/>
    </xf>
    <xf numFmtId="0" fontId="15" fillId="0" borderId="2" xfId="0" applyFont="1" applyBorder="1" applyAlignment="1"/>
    <xf numFmtId="165" fontId="15" fillId="0" borderId="26" xfId="0" applyNumberFormat="1" applyFont="1" applyBorder="1" applyAlignment="1">
      <alignment horizontal="right"/>
    </xf>
    <xf numFmtId="9" fontId="15" fillId="0" borderId="3" xfId="0" applyNumberFormat="1" applyFont="1" applyBorder="1" applyAlignment="1"/>
    <xf numFmtId="165" fontId="15" fillId="0" borderId="1" xfId="0" applyNumberFormat="1" applyFont="1" applyBorder="1" applyAlignment="1">
      <alignment horizontal="right"/>
    </xf>
    <xf numFmtId="0" fontId="15" fillId="0" borderId="4" xfId="0" applyFont="1" applyBorder="1" applyAlignment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65" fontId="15" fillId="0" borderId="24" xfId="0" applyNumberFormat="1" applyFont="1" applyBorder="1" applyAlignment="1">
      <alignment horizontal="right"/>
    </xf>
    <xf numFmtId="9" fontId="15" fillId="0" borderId="5" xfId="0" applyNumberFormat="1" applyFont="1" applyBorder="1" applyAlignment="1"/>
    <xf numFmtId="165" fontId="15" fillId="0" borderId="4" xfId="0" applyNumberFormat="1" applyFont="1" applyBorder="1" applyAlignment="1">
      <alignment horizontal="right"/>
    </xf>
    <xf numFmtId="0" fontId="15" fillId="0" borderId="6" xfId="0" applyFont="1" applyBorder="1" applyAlignment="1"/>
    <xf numFmtId="0" fontId="15" fillId="0" borderId="7" xfId="0" applyFont="1" applyBorder="1" applyAlignment="1">
      <alignment horizontal="left"/>
    </xf>
    <xf numFmtId="0" fontId="15" fillId="0" borderId="7" xfId="0" applyFont="1" applyBorder="1" applyAlignment="1"/>
    <xf numFmtId="165" fontId="15" fillId="0" borderId="25" xfId="0" applyNumberFormat="1" applyFont="1" applyBorder="1" applyAlignment="1">
      <alignment horizontal="right"/>
    </xf>
    <xf numFmtId="0" fontId="15" fillId="0" borderId="8" xfId="0" applyFont="1" applyBorder="1" applyAlignment="1"/>
    <xf numFmtId="165" fontId="15" fillId="0" borderId="6" xfId="0" applyNumberFormat="1" applyFont="1" applyBorder="1" applyAlignment="1">
      <alignment horizontal="right"/>
    </xf>
    <xf numFmtId="0" fontId="13" fillId="0" borderId="1" xfId="0" applyFont="1" applyBorder="1" applyAlignment="1"/>
    <xf numFmtId="0" fontId="13" fillId="0" borderId="26" xfId="0" applyFont="1" applyBorder="1" applyAlignment="1"/>
    <xf numFmtId="0" fontId="15" fillId="0" borderId="3" xfId="0" applyFont="1" applyBorder="1" applyAlignment="1"/>
    <xf numFmtId="165" fontId="15" fillId="0" borderId="4" xfId="0" applyNumberFormat="1" applyFont="1" applyBorder="1" applyAlignment="1"/>
    <xf numFmtId="0" fontId="15" fillId="0" borderId="9" xfId="0" applyFont="1" applyBorder="1" applyAlignment="1"/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/>
    <xf numFmtId="165" fontId="15" fillId="0" borderId="9" xfId="0" applyNumberFormat="1" applyFont="1" applyBorder="1" applyAlignment="1"/>
    <xf numFmtId="165" fontId="15" fillId="0" borderId="40" xfId="0" applyNumberFormat="1" applyFont="1" applyBorder="1" applyAlignment="1">
      <alignment horizontal="right"/>
    </xf>
    <xf numFmtId="9" fontId="15" fillId="0" borderId="11" xfId="0" applyNumberFormat="1" applyFont="1" applyBorder="1" applyAlignment="1"/>
    <xf numFmtId="165" fontId="15" fillId="0" borderId="9" xfId="0" applyNumberFormat="1" applyFont="1" applyBorder="1" applyAlignment="1">
      <alignment horizontal="right"/>
    </xf>
    <xf numFmtId="0" fontId="13" fillId="0" borderId="0" xfId="0" applyFont="1" applyBorder="1" applyAlignment="1"/>
    <xf numFmtId="165" fontId="13" fillId="0" borderId="12" xfId="0" applyNumberFormat="1" applyFont="1" applyBorder="1" applyAlignment="1"/>
    <xf numFmtId="165" fontId="13" fillId="0" borderId="48" xfId="0" applyNumberFormat="1" applyFont="1" applyBorder="1" applyAlignment="1">
      <alignment horizontal="right"/>
    </xf>
    <xf numFmtId="9" fontId="13" fillId="0" borderId="5" xfId="0" applyNumberFormat="1" applyFont="1" applyBorder="1" applyAlignment="1"/>
    <xf numFmtId="165" fontId="13" fillId="0" borderId="12" xfId="0" applyNumberFormat="1" applyFont="1" applyBorder="1" applyAlignment="1">
      <alignment horizontal="right"/>
    </xf>
    <xf numFmtId="0" fontId="13" fillId="0" borderId="9" xfId="0" applyFont="1" applyBorder="1" applyAlignment="1"/>
    <xf numFmtId="0" fontId="13" fillId="0" borderId="10" xfId="0" applyFont="1" applyBorder="1" applyAlignment="1"/>
    <xf numFmtId="164" fontId="15" fillId="0" borderId="40" xfId="2" applyNumberFormat="1" applyFont="1" applyBorder="1" applyAlignment="1">
      <alignment horizontal="right"/>
    </xf>
    <xf numFmtId="0" fontId="15" fillId="0" borderId="11" xfId="0" applyFont="1" applyBorder="1" applyAlignment="1"/>
    <xf numFmtId="164" fontId="15" fillId="0" borderId="9" xfId="2" applyNumberFormat="1" applyFont="1" applyBorder="1" applyAlignment="1">
      <alignment horizontal="right"/>
    </xf>
    <xf numFmtId="0" fontId="13" fillId="0" borderId="13" xfId="0" applyFont="1" applyBorder="1" applyAlignment="1"/>
    <xf numFmtId="9" fontId="13" fillId="0" borderId="14" xfId="0" applyNumberFormat="1" applyFont="1" applyBorder="1" applyAlignment="1"/>
    <xf numFmtId="164" fontId="15" fillId="0" borderId="9" xfId="0" applyNumberFormat="1" applyFont="1" applyBorder="1" applyAlignment="1"/>
    <xf numFmtId="164" fontId="15" fillId="0" borderId="40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0" fontId="15" fillId="0" borderId="16" xfId="0" applyFont="1" applyBorder="1" applyAlignment="1">
      <alignment horizontal="left"/>
    </xf>
    <xf numFmtId="0" fontId="13" fillId="0" borderId="16" xfId="0" applyFont="1" applyBorder="1" applyAlignment="1"/>
    <xf numFmtId="4" fontId="15" fillId="0" borderId="49" xfId="0" applyNumberFormat="1" applyFont="1" applyFill="1" applyBorder="1" applyAlignment="1">
      <alignment horizontal="right"/>
    </xf>
    <xf numFmtId="9" fontId="15" fillId="0" borderId="17" xfId="2" applyFont="1" applyFill="1" applyBorder="1" applyAlignment="1">
      <alignment horizontal="right"/>
    </xf>
    <xf numFmtId="0" fontId="13" fillId="0" borderId="2" xfId="0" applyFont="1" applyBorder="1" applyAlignment="1"/>
    <xf numFmtId="165" fontId="15" fillId="0" borderId="1" xfId="0" applyNumberFormat="1" applyFont="1" applyFill="1" applyBorder="1" applyAlignment="1"/>
    <xf numFmtId="165" fontId="15" fillId="0" borderId="26" xfId="0" applyNumberFormat="1" applyFont="1" applyFill="1" applyBorder="1" applyAlignment="1">
      <alignment horizontal="right"/>
    </xf>
    <xf numFmtId="9" fontId="15" fillId="0" borderId="3" xfId="0" applyNumberFormat="1" applyFont="1" applyFill="1" applyBorder="1" applyAlignment="1"/>
    <xf numFmtId="165" fontId="15" fillId="0" borderId="1" xfId="0" applyNumberFormat="1" applyFont="1" applyFill="1" applyBorder="1" applyAlignment="1">
      <alignment horizontal="right"/>
    </xf>
    <xf numFmtId="0" fontId="15" fillId="0" borderId="9" xfId="0" applyFont="1" applyBorder="1" applyAlignment="1">
      <alignment horizontal="left"/>
    </xf>
    <xf numFmtId="0" fontId="13" fillId="0" borderId="40" xfId="0" applyFont="1" applyBorder="1" applyAlignment="1"/>
    <xf numFmtId="9" fontId="15" fillId="0" borderId="10" xfId="0" applyNumberFormat="1" applyFont="1" applyBorder="1" applyAlignment="1"/>
    <xf numFmtId="3" fontId="15" fillId="0" borderId="24" xfId="0" applyNumberFormat="1" applyFont="1" applyBorder="1" applyAlignment="1">
      <alignment horizontal="right"/>
    </xf>
    <xf numFmtId="0" fontId="15" fillId="0" borderId="5" xfId="0" applyFont="1" applyBorder="1" applyAlignment="1"/>
    <xf numFmtId="0" fontId="13" fillId="0" borderId="4" xfId="0" applyFont="1" applyBorder="1" applyAlignment="1"/>
    <xf numFmtId="0" fontId="13" fillId="0" borderId="24" xfId="0" applyFont="1" applyBorder="1" applyAlignment="1"/>
    <xf numFmtId="1" fontId="15" fillId="0" borderId="9" xfId="0" applyNumberFormat="1" applyFont="1" applyBorder="1" applyAlignment="1"/>
    <xf numFmtId="3" fontId="15" fillId="0" borderId="40" xfId="0" applyNumberFormat="1" applyFont="1" applyBorder="1" applyAlignment="1">
      <alignment horizontal="right"/>
    </xf>
    <xf numFmtId="0" fontId="12" fillId="0" borderId="13" xfId="0" applyFont="1" applyBorder="1" applyAlignment="1"/>
    <xf numFmtId="49" fontId="12" fillId="0" borderId="49" xfId="0" applyNumberFormat="1" applyFont="1" applyBorder="1" applyAlignment="1">
      <alignment horizontal="center" wrapText="1"/>
    </xf>
    <xf numFmtId="0" fontId="13" fillId="0" borderId="14" xfId="0" applyFont="1" applyBorder="1" applyAlignment="1"/>
    <xf numFmtId="49" fontId="13" fillId="0" borderId="12" xfId="0" applyNumberFormat="1" applyFont="1" applyBorder="1" applyAlignment="1"/>
    <xf numFmtId="49" fontId="13" fillId="0" borderId="48" xfId="0" applyNumberFormat="1" applyFont="1" applyBorder="1" applyAlignment="1"/>
    <xf numFmtId="0" fontId="15" fillId="0" borderId="19" xfId="0" applyFont="1" applyBorder="1" applyAlignment="1"/>
    <xf numFmtId="0" fontId="13" fillId="0" borderId="19" xfId="0" applyFont="1" applyBorder="1" applyAlignment="1"/>
    <xf numFmtId="165" fontId="15" fillId="0" borderId="18" xfId="0" applyNumberFormat="1" applyFont="1" applyBorder="1" applyAlignment="1"/>
    <xf numFmtId="165" fontId="15" fillId="0" borderId="23" xfId="0" applyNumberFormat="1" applyFont="1" applyBorder="1" applyAlignment="1">
      <alignment horizontal="right"/>
    </xf>
    <xf numFmtId="0" fontId="13" fillId="0" borderId="20" xfId="0" applyFont="1" applyBorder="1" applyAlignment="1"/>
    <xf numFmtId="0" fontId="13" fillId="0" borderId="18" xfId="0" applyFont="1" applyBorder="1" applyAlignment="1"/>
    <xf numFmtId="0" fontId="15" fillId="0" borderId="23" xfId="0" applyFont="1" applyBorder="1" applyAlignment="1"/>
    <xf numFmtId="165" fontId="15" fillId="0" borderId="1" xfId="0" applyNumberFormat="1" applyFont="1" applyBorder="1" applyAlignment="1"/>
    <xf numFmtId="0" fontId="13" fillId="0" borderId="5" xfId="0" applyFont="1" applyBorder="1" applyAlignment="1"/>
    <xf numFmtId="0" fontId="15" fillId="0" borderId="24" xfId="0" applyFont="1" applyBorder="1" applyAlignment="1"/>
    <xf numFmtId="0" fontId="13" fillId="0" borderId="7" xfId="0" applyFont="1" applyBorder="1" applyAlignment="1"/>
    <xf numFmtId="164" fontId="15" fillId="0" borderId="6" xfId="0" applyNumberFormat="1" applyFont="1" applyBorder="1" applyAlignment="1"/>
    <xf numFmtId="9" fontId="15" fillId="0" borderId="25" xfId="0" applyNumberFormat="1" applyFont="1" applyBorder="1" applyAlignment="1">
      <alignment horizontal="right"/>
    </xf>
    <xf numFmtId="0" fontId="13" fillId="0" borderId="8" xfId="0" applyFont="1" applyBorder="1" applyAlignment="1"/>
    <xf numFmtId="0" fontId="13" fillId="0" borderId="6" xfId="0" applyFont="1" applyBorder="1" applyAlignment="1"/>
    <xf numFmtId="0" fontId="15" fillId="0" borderId="25" xfId="0" applyFont="1" applyBorder="1" applyAlignment="1"/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vertical="top"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horizont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3" fontId="15" fillId="0" borderId="1" xfId="0" applyNumberFormat="1" applyFont="1" applyBorder="1" applyAlignment="1"/>
    <xf numFmtId="3" fontId="15" fillId="0" borderId="26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26" xfId="0" applyNumberFormat="1" applyFont="1" applyBorder="1" applyAlignment="1"/>
    <xf numFmtId="0" fontId="15" fillId="0" borderId="4" xfId="0" applyFont="1" applyBorder="1" applyAlignment="1">
      <alignment horizontal="left"/>
    </xf>
    <xf numFmtId="3" fontId="15" fillId="0" borderId="4" xfId="0" applyNumberFormat="1" applyFont="1" applyBorder="1" applyAlignment="1"/>
    <xf numFmtId="3" fontId="15" fillId="0" borderId="4" xfId="0" applyNumberFormat="1" applyFont="1" applyBorder="1" applyAlignment="1">
      <alignment horizontal="right"/>
    </xf>
    <xf numFmtId="3" fontId="15" fillId="0" borderId="24" xfId="0" applyNumberFormat="1" applyFont="1" applyBorder="1" applyAlignment="1"/>
    <xf numFmtId="0" fontId="15" fillId="0" borderId="6" xfId="0" applyFont="1" applyBorder="1" applyAlignment="1">
      <alignment horizontal="left"/>
    </xf>
    <xf numFmtId="3" fontId="15" fillId="0" borderId="6" xfId="0" applyNumberFormat="1" applyFont="1" applyBorder="1" applyAlignment="1"/>
    <xf numFmtId="3" fontId="15" fillId="0" borderId="25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15" fillId="0" borderId="25" xfId="0" applyNumberFormat="1" applyFont="1" applyBorder="1" applyAlignment="1"/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3" fontId="13" fillId="0" borderId="18" xfId="0" applyNumberFormat="1" applyFont="1" applyBorder="1" applyAlignment="1"/>
    <xf numFmtId="3" fontId="13" fillId="0" borderId="23" xfId="0" applyNumberFormat="1" applyFont="1" applyBorder="1" applyAlignment="1">
      <alignment horizontal="right"/>
    </xf>
    <xf numFmtId="9" fontId="13" fillId="0" borderId="20" xfId="0" applyNumberFormat="1" applyFont="1" applyBorder="1" applyAlignment="1"/>
    <xf numFmtId="3" fontId="13" fillId="0" borderId="23" xfId="0" applyNumberFormat="1" applyFont="1" applyBorder="1" applyAlignment="1"/>
    <xf numFmtId="0" fontId="15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3" fontId="15" fillId="0" borderId="18" xfId="0" applyNumberFormat="1" applyFont="1" applyBorder="1" applyAlignment="1"/>
    <xf numFmtId="3" fontId="15" fillId="0" borderId="23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 horizontal="right"/>
    </xf>
    <xf numFmtId="3" fontId="15" fillId="0" borderId="23" xfId="0" applyNumberFormat="1" applyFont="1" applyBorder="1" applyAlignment="1"/>
    <xf numFmtId="3" fontId="15" fillId="0" borderId="4" xfId="2" applyNumberFormat="1" applyFont="1" applyBorder="1" applyAlignment="1"/>
    <xf numFmtId="3" fontId="15" fillId="0" borderId="24" xfId="2" applyNumberFormat="1" applyFont="1" applyBorder="1" applyAlignment="1">
      <alignment horizontal="right"/>
    </xf>
    <xf numFmtId="3" fontId="15" fillId="0" borderId="4" xfId="2" applyNumberFormat="1" applyFont="1" applyBorder="1" applyAlignment="1">
      <alignment horizontal="right"/>
    </xf>
    <xf numFmtId="3" fontId="15" fillId="0" borderId="24" xfId="2" applyNumberFormat="1" applyFont="1" applyBorder="1" applyAlignment="1"/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9" fontId="13" fillId="0" borderId="3" xfId="0" applyNumberFormat="1" applyFont="1" applyBorder="1" applyAlignment="1"/>
    <xf numFmtId="49" fontId="15" fillId="0" borderId="19" xfId="0" applyNumberFormat="1" applyFont="1" applyBorder="1" applyAlignment="1">
      <alignment horizontal="right"/>
    </xf>
    <xf numFmtId="9" fontId="15" fillId="0" borderId="19" xfId="0" applyNumberFormat="1" applyFont="1" applyBorder="1" applyAlignment="1"/>
    <xf numFmtId="9" fontId="15" fillId="0" borderId="20" xfId="0" applyNumberFormat="1" applyFont="1" applyBorder="1" applyAlignment="1"/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9" fontId="13" fillId="0" borderId="8" xfId="0" applyNumberFormat="1" applyFont="1" applyBorder="1" applyAlignment="1"/>
    <xf numFmtId="3" fontId="13" fillId="0" borderId="6" xfId="0" applyNumberFormat="1" applyFont="1" applyBorder="1" applyAlignment="1">
      <alignment horizontal="right"/>
    </xf>
    <xf numFmtId="0" fontId="13" fillId="0" borderId="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3" fontId="13" fillId="0" borderId="1" xfId="0" applyNumberFormat="1" applyFont="1" applyBorder="1" applyAlignment="1">
      <alignment horizontal="right"/>
    </xf>
    <xf numFmtId="0" fontId="15" fillId="0" borderId="18" xfId="0" applyFont="1" applyBorder="1" applyAlignment="1"/>
    <xf numFmtId="0" fontId="15" fillId="0" borderId="19" xfId="0" applyFont="1" applyBorder="1" applyAlignment="1">
      <alignment horizontal="right"/>
    </xf>
    <xf numFmtId="4" fontId="15" fillId="0" borderId="18" xfId="0" applyNumberFormat="1" applyFont="1" applyBorder="1" applyAlignment="1"/>
    <xf numFmtId="4" fontId="15" fillId="0" borderId="23" xfId="0" applyNumberFormat="1" applyFont="1" applyBorder="1" applyAlignment="1">
      <alignment horizontal="right"/>
    </xf>
    <xf numFmtId="9" fontId="15" fillId="0" borderId="8" xfId="0" applyNumberFormat="1" applyFont="1" applyBorder="1" applyAlignment="1"/>
    <xf numFmtId="4" fontId="15" fillId="0" borderId="6" xfId="0" applyNumberFormat="1" applyFont="1" applyBorder="1" applyAlignment="1">
      <alignment horizontal="right"/>
    </xf>
    <xf numFmtId="4" fontId="15" fillId="0" borderId="23" xfId="0" applyNumberFormat="1" applyFont="1" applyBorder="1" applyAlignment="1"/>
    <xf numFmtId="4" fontId="15" fillId="0" borderId="18" xfId="0" applyNumberFormat="1" applyFont="1" applyBorder="1" applyAlignment="1">
      <alignment horizontal="right"/>
    </xf>
    <xf numFmtId="9" fontId="15" fillId="0" borderId="20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/>
    </xf>
    <xf numFmtId="9" fontId="1" fillId="0" borderId="3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left" vertical="center"/>
    </xf>
    <xf numFmtId="9" fontId="1" fillId="0" borderId="8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3" fontId="17" fillId="0" borderId="0" xfId="0" applyNumberFormat="1" applyFont="1" applyBorder="1" applyAlignment="1">
      <alignment horizontal="right" vertical="center"/>
    </xf>
    <xf numFmtId="165" fontId="17" fillId="0" borderId="0" xfId="0" applyNumberFormat="1" applyFont="1" applyBorder="1" applyAlignment="1">
      <alignment horizontal="right" vertical="center"/>
    </xf>
    <xf numFmtId="3" fontId="17" fillId="0" borderId="3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3" fontId="17" fillId="0" borderId="5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165" fontId="18" fillId="0" borderId="0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horizontal="left" vertical="center"/>
    </xf>
    <xf numFmtId="3" fontId="17" fillId="0" borderId="7" xfId="0" applyNumberFormat="1" applyFont="1" applyBorder="1" applyAlignment="1">
      <alignment horizontal="right" vertical="center"/>
    </xf>
    <xf numFmtId="165" fontId="17" fillId="0" borderId="7" xfId="0" applyNumberFormat="1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165" fontId="1" fillId="0" borderId="7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49" fontId="17" fillId="0" borderId="7" xfId="0" applyNumberFormat="1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3" fontId="18" fillId="0" borderId="2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5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horizontal="left" vertical="center"/>
    </xf>
    <xf numFmtId="3" fontId="18" fillId="0" borderId="22" xfId="0" applyNumberFormat="1" applyFont="1" applyBorder="1" applyAlignment="1">
      <alignment horizontal="right" vertical="center"/>
    </xf>
    <xf numFmtId="165" fontId="17" fillId="0" borderId="22" xfId="0" applyNumberFormat="1" applyFont="1" applyBorder="1" applyAlignment="1">
      <alignment horizontal="right" vertical="center"/>
    </xf>
    <xf numFmtId="3" fontId="18" fillId="0" borderId="2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/>
    </xf>
    <xf numFmtId="9" fontId="1" fillId="0" borderId="5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17" fillId="0" borderId="2" xfId="0" applyNumberFormat="1" applyFont="1" applyBorder="1" applyAlignment="1">
      <alignment horizontal="right" vertical="center"/>
    </xf>
    <xf numFmtId="165" fontId="17" fillId="0" borderId="2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left" vertical="center"/>
    </xf>
    <xf numFmtId="3" fontId="17" fillId="0" borderId="2" xfId="2" applyNumberFormat="1" applyFont="1" applyBorder="1" applyAlignment="1">
      <alignment horizontal="right" vertical="center"/>
    </xf>
    <xf numFmtId="49" fontId="17" fillId="0" borderId="2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3" fontId="18" fillId="0" borderId="7" xfId="0" applyNumberFormat="1" applyFont="1" applyBorder="1" applyAlignment="1">
      <alignment horizontal="right" vertical="center"/>
    </xf>
    <xf numFmtId="165" fontId="18" fillId="0" borderId="7" xfId="0" applyNumberFormat="1" applyFont="1" applyBorder="1" applyAlignment="1">
      <alignment horizontal="right" vertical="center"/>
    </xf>
    <xf numFmtId="3" fontId="18" fillId="0" borderId="8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1" xfId="0" applyFont="1" applyBorder="1" applyAlignment="1">
      <alignment vertical="top"/>
    </xf>
    <xf numFmtId="0" fontId="12" fillId="0" borderId="2" xfId="0" applyFont="1" applyBorder="1"/>
    <xf numFmtId="49" fontId="12" fillId="0" borderId="23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right" vertical="center"/>
    </xf>
    <xf numFmtId="3" fontId="17" fillId="0" borderId="24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3" fontId="18" fillId="0" borderId="23" xfId="2" applyNumberFormat="1" applyFont="1" applyBorder="1" applyAlignment="1">
      <alignment horizontal="right" vertical="center"/>
    </xf>
    <xf numFmtId="3" fontId="18" fillId="0" borderId="20" xfId="2" applyNumberFormat="1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/>
    </xf>
    <xf numFmtId="3" fontId="18" fillId="0" borderId="4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/>
    <xf numFmtId="0" fontId="1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9" fontId="12" fillId="0" borderId="5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1" fontId="12" fillId="0" borderId="2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3" fontId="12" fillId="0" borderId="4" xfId="0" applyNumberFormat="1" applyFont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26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0" borderId="47" xfId="0" applyNumberFormat="1" applyFont="1" applyBorder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 applyAlignment="1">
      <alignment horizontal="left"/>
    </xf>
    <xf numFmtId="0" fontId="16" fillId="0" borderId="0" xfId="0" applyFont="1" applyAlignment="1"/>
    <xf numFmtId="1" fontId="12" fillId="0" borderId="4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 wrapText="1"/>
    </xf>
    <xf numFmtId="3" fontId="20" fillId="0" borderId="13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0" fillId="0" borderId="31" xfId="0" applyFont="1" applyBorder="1" applyAlignment="1">
      <alignment vertical="top"/>
    </xf>
    <xf numFmtId="0" fontId="20" fillId="0" borderId="0" xfId="0" applyFont="1" applyBorder="1" applyAlignment="1">
      <alignment horizontal="left" vertical="center"/>
    </xf>
    <xf numFmtId="0" fontId="20" fillId="0" borderId="7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0" fillId="0" borderId="19" xfId="0" applyNumberFormat="1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9" fillId="0" borderId="28" xfId="0" applyFont="1" applyBorder="1" applyAlignment="1">
      <alignment horizontal="center"/>
    </xf>
    <xf numFmtId="0" fontId="20" fillId="0" borderId="34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3" fontId="20" fillId="0" borderId="0" xfId="0" applyNumberFormat="1" applyFont="1" applyBorder="1" applyAlignment="1">
      <alignment horizontal="right"/>
    </xf>
    <xf numFmtId="3" fontId="20" fillId="0" borderId="7" xfId="0" applyNumberFormat="1" applyFont="1" applyBorder="1" applyAlignment="1">
      <alignment horizontal="right"/>
    </xf>
    <xf numFmtId="3" fontId="19" fillId="0" borderId="28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19" fillId="0" borderId="36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3" fontId="20" fillId="0" borderId="2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3" fontId="19" fillId="0" borderId="38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 horizontal="left" vertical="center"/>
    </xf>
    <xf numFmtId="3" fontId="20" fillId="0" borderId="7" xfId="0" applyNumberFormat="1" applyFont="1" applyBorder="1" applyAlignment="1">
      <alignment horizontal="right" vertical="center"/>
    </xf>
    <xf numFmtId="3" fontId="20" fillId="0" borderId="19" xfId="0" applyNumberFormat="1" applyFont="1" applyBorder="1" applyAlignment="1">
      <alignment horizontal="right" vertical="center"/>
    </xf>
    <xf numFmtId="3" fontId="19" fillId="0" borderId="39" xfId="0" applyNumberFormat="1" applyFont="1" applyBorder="1" applyAlignment="1">
      <alignment horizontal="right" vertical="center"/>
    </xf>
    <xf numFmtId="0" fontId="20" fillId="0" borderId="37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3" fontId="19" fillId="0" borderId="39" xfId="0" applyNumberFormat="1" applyFont="1" applyBorder="1" applyAlignment="1">
      <alignment horizontal="right"/>
    </xf>
    <xf numFmtId="0" fontId="20" fillId="0" borderId="19" xfId="0" applyFont="1" applyBorder="1" applyAlignment="1">
      <alignment horizontal="left" vertical="center" wrapText="1"/>
    </xf>
    <xf numFmtId="3" fontId="20" fillId="0" borderId="19" xfId="2" applyNumberFormat="1" applyFont="1" applyBorder="1" applyAlignment="1">
      <alignment horizontal="right" vertical="center"/>
    </xf>
    <xf numFmtId="0" fontId="19" fillId="0" borderId="36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3" fontId="20" fillId="0" borderId="0" xfId="2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3" fontId="19" fillId="0" borderId="35" xfId="0" applyNumberFormat="1" applyFont="1" applyBorder="1" applyAlignment="1">
      <alignment horizontal="right" vertical="center"/>
    </xf>
    <xf numFmtId="0" fontId="20" fillId="0" borderId="44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3" fontId="20" fillId="0" borderId="45" xfId="0" applyNumberFormat="1" applyFont="1" applyBorder="1" applyAlignment="1">
      <alignment horizontal="right" vertical="center"/>
    </xf>
    <xf numFmtId="3" fontId="19" fillId="0" borderId="46" xfId="0" applyNumberFormat="1" applyFont="1" applyBorder="1" applyAlignment="1">
      <alignment horizontal="right" vertical="center"/>
    </xf>
    <xf numFmtId="3" fontId="19" fillId="0" borderId="29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49" fontId="12" fillId="0" borderId="26" xfId="0" applyNumberFormat="1" applyFont="1" applyBorder="1" applyAlignment="1">
      <alignment horizontal="center" wrapText="1"/>
    </xf>
    <xf numFmtId="49" fontId="12" fillId="0" borderId="2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49" fontId="12" fillId="0" borderId="19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3" fontId="12" fillId="0" borderId="19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3" fontId="1" fillId="0" borderId="19" xfId="0" applyNumberFormat="1" applyFont="1" applyBorder="1" applyAlignment="1">
      <alignment horizontal="right"/>
    </xf>
    <xf numFmtId="3" fontId="1" fillId="0" borderId="25" xfId="2" applyNumberFormat="1" applyFont="1" applyBorder="1" applyAlignment="1">
      <alignment horizontal="right"/>
    </xf>
    <xf numFmtId="3" fontId="1" fillId="0" borderId="8" xfId="2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1" fillId="0" borderId="0" xfId="0" applyFont="1"/>
    <xf numFmtId="0" fontId="5" fillId="0" borderId="0" xfId="0" applyFont="1" applyAlignment="1">
      <alignment horizontal="right" vertical="top"/>
    </xf>
    <xf numFmtId="0" fontId="8" fillId="0" borderId="0" xfId="0" applyFont="1"/>
    <xf numFmtId="0" fontId="8" fillId="0" borderId="0" xfId="3" applyFont="1"/>
    <xf numFmtId="4" fontId="5" fillId="0" borderId="0" xfId="0" applyNumberFormat="1" applyFont="1"/>
    <xf numFmtId="3" fontId="17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7" fillId="0" borderId="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9" fontId="12" fillId="0" borderId="4" xfId="0" applyNumberFormat="1" applyFont="1" applyBorder="1" applyAlignment="1">
      <alignment horizontal="center" wrapText="1"/>
    </xf>
    <xf numFmtId="9" fontId="12" fillId="0" borderId="5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9" fillId="0" borderId="3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3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30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49" fontId="20" fillId="0" borderId="16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</cellXfs>
  <cellStyles count="5">
    <cellStyle name="Hyperlink" xfId="3" builtinId="8"/>
    <cellStyle name="Normal" xfId="0" builtinId="0"/>
    <cellStyle name="Percent" xfId="2" builtinId="5"/>
    <cellStyle name="Standard 2" xfId="1" xr:uid="{00000000-0005-0000-0000-000003000000}"/>
    <cellStyle name="Standard_Tabelle1_1" xfId="4" xr:uid="{00000000-0005-0000-0000-000004000000}"/>
  </cellStyles>
  <dxfs count="0"/>
  <tableStyles count="0" defaultTableStyle="TableStyleMedium2" defaultPivotStyle="PivotStyleMedium9"/>
  <colors>
    <mruColors>
      <color rgb="FF0899CC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investor.relations@softwareag.co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G21"/>
  <sheetViews>
    <sheetView tabSelected="1" zoomScaleNormal="100" workbookViewId="0"/>
  </sheetViews>
  <sheetFormatPr defaultColWidth="9.109375" defaultRowHeight="13.8" x14ac:dyDescent="0.25"/>
  <cols>
    <col min="1" max="1" width="2.6640625" style="3" customWidth="1"/>
    <col min="2" max="2" width="15.88671875" style="3" bestFit="1" customWidth="1"/>
    <col min="3" max="16384" width="9.109375" style="3"/>
  </cols>
  <sheetData>
    <row r="8" spans="2:7" ht="35.4" x14ac:dyDescent="0.6">
      <c r="B8" s="364" t="s">
        <v>5</v>
      </c>
      <c r="C8" s="364"/>
      <c r="D8" s="364"/>
      <c r="E8" s="364"/>
      <c r="F8" s="7"/>
      <c r="G8" s="7"/>
    </row>
    <row r="9" spans="2:7" ht="35.4" x14ac:dyDescent="0.6">
      <c r="B9" s="364" t="s">
        <v>19</v>
      </c>
      <c r="C9" s="364"/>
      <c r="D9" s="364"/>
      <c r="E9" s="364"/>
      <c r="F9" s="364"/>
      <c r="G9" s="364"/>
    </row>
    <row r="10" spans="2:7" ht="36" customHeight="1" x14ac:dyDescent="0.6">
      <c r="B10" s="364" t="s">
        <v>154</v>
      </c>
      <c r="C10" s="364"/>
      <c r="D10" s="364"/>
      <c r="E10" s="364"/>
      <c r="F10" s="7"/>
      <c r="G10" s="7"/>
    </row>
    <row r="11" spans="2:7" ht="15" customHeight="1" x14ac:dyDescent="0.4">
      <c r="B11" s="4"/>
    </row>
    <row r="20" spans="2:2" ht="18" x14ac:dyDescent="0.35">
      <c r="B20" s="5" t="s">
        <v>155</v>
      </c>
    </row>
    <row r="21" spans="2:2" ht="17.399999999999999" x14ac:dyDescent="0.3">
      <c r="B21" s="6" t="s">
        <v>149</v>
      </c>
    </row>
  </sheetData>
  <mergeCells count="3">
    <mergeCell ref="B10:E10"/>
    <mergeCell ref="B9:G9"/>
    <mergeCell ref="B8:E8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M44"/>
  <sheetViews>
    <sheetView workbookViewId="0"/>
  </sheetViews>
  <sheetFormatPr defaultColWidth="9.109375" defaultRowHeight="13.8" x14ac:dyDescent="0.25"/>
  <cols>
    <col min="1" max="1" width="2.6640625" style="3" customWidth="1"/>
    <col min="2" max="9" width="10.33203125" style="3" customWidth="1"/>
    <col min="10" max="13" width="12.88671875" style="3" customWidth="1"/>
    <col min="14" max="16384" width="9.109375" style="3"/>
  </cols>
  <sheetData>
    <row r="1" spans="2:13" ht="15" customHeight="1" x14ac:dyDescent="0.25">
      <c r="B1" s="271" t="s">
        <v>166</v>
      </c>
      <c r="C1" s="240"/>
      <c r="D1" s="240"/>
      <c r="E1" s="240"/>
      <c r="F1" s="240"/>
      <c r="G1" s="240"/>
      <c r="H1" s="240"/>
      <c r="I1" s="240"/>
      <c r="J1" s="240"/>
      <c r="K1" s="241"/>
    </row>
    <row r="2" spans="2:13" ht="15" customHeight="1" x14ac:dyDescent="0.25">
      <c r="B2" s="400"/>
      <c r="C2" s="400"/>
      <c r="D2" s="12"/>
      <c r="E2" s="12"/>
      <c r="F2" s="12"/>
      <c r="G2" s="12"/>
      <c r="H2" s="12"/>
      <c r="I2" s="12"/>
      <c r="J2" s="12"/>
      <c r="K2" s="12"/>
    </row>
    <row r="3" spans="2:13" ht="25.5" customHeight="1" x14ac:dyDescent="0.25">
      <c r="B3" s="226" t="s">
        <v>59</v>
      </c>
      <c r="C3" s="14"/>
      <c r="D3" s="14"/>
      <c r="E3" s="14"/>
      <c r="F3" s="14"/>
      <c r="G3" s="227"/>
      <c r="H3" s="227"/>
      <c r="I3" s="14"/>
      <c r="J3" s="334" t="s">
        <v>177</v>
      </c>
      <c r="K3" s="334" t="s">
        <v>178</v>
      </c>
      <c r="L3" s="335" t="s">
        <v>174</v>
      </c>
      <c r="M3" s="205" t="s">
        <v>175</v>
      </c>
    </row>
    <row r="4" spans="2:13" ht="15" customHeight="1" x14ac:dyDescent="0.25">
      <c r="B4" s="336"/>
      <c r="C4" s="337"/>
      <c r="D4" s="337"/>
      <c r="E4" s="337"/>
      <c r="F4" s="337"/>
      <c r="G4" s="337"/>
      <c r="H4" s="337"/>
      <c r="I4" s="337"/>
      <c r="J4" s="338"/>
      <c r="K4" s="338"/>
      <c r="L4" s="338"/>
      <c r="M4" s="339"/>
    </row>
    <row r="5" spans="2:13" ht="15" customHeight="1" x14ac:dyDescent="0.25">
      <c r="B5" s="450" t="s">
        <v>29</v>
      </c>
      <c r="C5" s="451"/>
      <c r="D5" s="451"/>
      <c r="E5" s="451"/>
      <c r="F5" s="451"/>
      <c r="G5" s="451"/>
      <c r="H5" s="451"/>
      <c r="I5" s="451"/>
      <c r="J5" s="257">
        <v>139605</v>
      </c>
      <c r="K5" s="340">
        <v>110551</v>
      </c>
      <c r="L5" s="340">
        <v>56169</v>
      </c>
      <c r="M5" s="340">
        <v>47427</v>
      </c>
    </row>
    <row r="6" spans="2:13" ht="15" customHeight="1" x14ac:dyDescent="0.25">
      <c r="B6" s="341"/>
      <c r="C6" s="342"/>
      <c r="D6" s="342"/>
      <c r="E6" s="342"/>
      <c r="F6" s="342"/>
      <c r="G6" s="342"/>
      <c r="H6" s="342"/>
      <c r="I6" s="342"/>
      <c r="J6" s="343"/>
      <c r="K6" s="343"/>
      <c r="L6" s="343"/>
      <c r="M6" s="344"/>
    </row>
    <row r="7" spans="2:13" ht="15" customHeight="1" x14ac:dyDescent="0.25">
      <c r="B7" s="424" t="s">
        <v>114</v>
      </c>
      <c r="C7" s="425"/>
      <c r="D7" s="425"/>
      <c r="E7" s="425"/>
      <c r="F7" s="425"/>
      <c r="G7" s="425"/>
      <c r="H7" s="425"/>
      <c r="I7" s="425"/>
      <c r="J7" s="263">
        <f>+'Changes in Equity'!L22</f>
        <v>41927</v>
      </c>
      <c r="K7" s="345">
        <v>44812</v>
      </c>
      <c r="L7" s="345">
        <v>19687</v>
      </c>
      <c r="M7" s="345">
        <v>1888</v>
      </c>
    </row>
    <row r="8" spans="2:13" ht="15" customHeight="1" x14ac:dyDescent="0.25">
      <c r="B8" s="454" t="s">
        <v>131</v>
      </c>
      <c r="C8" s="455"/>
      <c r="D8" s="455"/>
      <c r="E8" s="455"/>
      <c r="F8" s="455"/>
      <c r="G8" s="455"/>
      <c r="H8" s="455"/>
      <c r="I8" s="455"/>
      <c r="J8" s="346">
        <f>+'Changes in Equity'!M22</f>
        <v>1936</v>
      </c>
      <c r="K8" s="347">
        <v>690</v>
      </c>
      <c r="L8" s="347">
        <v>227</v>
      </c>
      <c r="M8" s="347">
        <v>167</v>
      </c>
    </row>
    <row r="9" spans="2:13" ht="15" customHeight="1" x14ac:dyDescent="0.25">
      <c r="B9" s="456" t="s">
        <v>132</v>
      </c>
      <c r="C9" s="455"/>
      <c r="D9" s="455"/>
      <c r="E9" s="455"/>
      <c r="F9" s="455"/>
      <c r="G9" s="455"/>
      <c r="H9" s="455"/>
      <c r="I9" s="455"/>
      <c r="J9" s="346">
        <f>+'Changes in Equity'!O22</f>
        <v>4240</v>
      </c>
      <c r="K9" s="347">
        <v>4406</v>
      </c>
      <c r="L9" s="347">
        <v>1158</v>
      </c>
      <c r="M9" s="347">
        <v>1294</v>
      </c>
    </row>
    <row r="10" spans="2:13" s="12" customFormat="1" ht="15" customHeight="1" x14ac:dyDescent="0.25">
      <c r="B10" s="457" t="s">
        <v>133</v>
      </c>
      <c r="C10" s="422"/>
      <c r="D10" s="422"/>
      <c r="E10" s="422"/>
      <c r="F10" s="422"/>
      <c r="G10" s="422"/>
      <c r="H10" s="422"/>
      <c r="I10" s="422"/>
      <c r="J10" s="253">
        <f>SUM(J7:J9)</f>
        <v>48103</v>
      </c>
      <c r="K10" s="344">
        <f>SUM(K7:K9)</f>
        <v>49908</v>
      </c>
      <c r="L10" s="344">
        <f>SUM(L7:L9)</f>
        <v>21072</v>
      </c>
      <c r="M10" s="344">
        <f>SUM(M7:M9)</f>
        <v>3349</v>
      </c>
    </row>
    <row r="11" spans="2:13" ht="15" customHeight="1" x14ac:dyDescent="0.25">
      <c r="B11" s="454" t="s">
        <v>134</v>
      </c>
      <c r="C11" s="455"/>
      <c r="D11" s="455"/>
      <c r="E11" s="455"/>
      <c r="F11" s="455"/>
      <c r="G11" s="455"/>
      <c r="H11" s="455"/>
      <c r="I11" s="455"/>
      <c r="J11" s="346">
        <f>+'Changes in Equity'!N22</f>
        <v>624</v>
      </c>
      <c r="K11" s="347">
        <v>-4363</v>
      </c>
      <c r="L11" s="347">
        <v>624</v>
      </c>
      <c r="M11" s="347">
        <v>-4284</v>
      </c>
    </row>
    <row r="12" spans="2:13" ht="15" customHeight="1" x14ac:dyDescent="0.25">
      <c r="B12" s="421" t="s">
        <v>135</v>
      </c>
      <c r="C12" s="422"/>
      <c r="D12" s="422"/>
      <c r="E12" s="422"/>
      <c r="F12" s="422"/>
      <c r="G12" s="422"/>
      <c r="H12" s="422"/>
      <c r="I12" s="422"/>
      <c r="J12" s="253">
        <f>SUM(J11)</f>
        <v>624</v>
      </c>
      <c r="K12" s="344">
        <f>SUM(K11)</f>
        <v>-4363</v>
      </c>
      <c r="L12" s="253">
        <f>SUM(L11)</f>
        <v>624</v>
      </c>
      <c r="M12" s="344">
        <f>SUM(M11)</f>
        <v>-4284</v>
      </c>
    </row>
    <row r="13" spans="2:13" ht="15" customHeight="1" x14ac:dyDescent="0.25">
      <c r="B13" s="413" t="s">
        <v>136</v>
      </c>
      <c r="C13" s="414"/>
      <c r="D13" s="414"/>
      <c r="E13" s="414"/>
      <c r="F13" s="414"/>
      <c r="G13" s="414"/>
      <c r="H13" s="414"/>
      <c r="I13" s="414"/>
      <c r="J13" s="259">
        <f>J10+J12</f>
        <v>48727</v>
      </c>
      <c r="K13" s="348">
        <f>K10+K12</f>
        <v>45545</v>
      </c>
      <c r="L13" s="348">
        <f>L10+L12</f>
        <v>21696</v>
      </c>
      <c r="M13" s="348">
        <f>M10+M12</f>
        <v>-935</v>
      </c>
    </row>
    <row r="14" spans="2:13" ht="15" customHeight="1" x14ac:dyDescent="0.25">
      <c r="B14" s="341"/>
      <c r="C14" s="342"/>
      <c r="D14" s="342"/>
      <c r="E14" s="342"/>
      <c r="F14" s="342"/>
      <c r="G14" s="342"/>
      <c r="H14" s="342"/>
      <c r="I14" s="342"/>
      <c r="J14" s="343"/>
      <c r="K14" s="343"/>
      <c r="L14" s="343"/>
      <c r="M14" s="344"/>
    </row>
    <row r="15" spans="2:13" ht="15" customHeight="1" x14ac:dyDescent="0.25">
      <c r="B15" s="450" t="s">
        <v>137</v>
      </c>
      <c r="C15" s="451"/>
      <c r="D15" s="451"/>
      <c r="E15" s="451"/>
      <c r="F15" s="451"/>
      <c r="G15" s="451"/>
      <c r="H15" s="451"/>
      <c r="I15" s="451"/>
      <c r="J15" s="257">
        <f>J5+J13</f>
        <v>188332</v>
      </c>
      <c r="K15" s="340">
        <f>K5+K13</f>
        <v>156096</v>
      </c>
      <c r="L15" s="340">
        <f>L5+L13</f>
        <v>77865</v>
      </c>
      <c r="M15" s="340">
        <f>M5+M13</f>
        <v>46492</v>
      </c>
    </row>
    <row r="16" spans="2:13" ht="15" customHeight="1" x14ac:dyDescent="0.25">
      <c r="B16" s="349"/>
      <c r="C16" s="350"/>
      <c r="D16" s="350"/>
      <c r="E16" s="350"/>
      <c r="F16" s="350"/>
      <c r="G16" s="350"/>
      <c r="H16" s="350"/>
      <c r="I16" s="350"/>
      <c r="J16" s="351"/>
      <c r="K16" s="351"/>
      <c r="L16" s="351"/>
      <c r="M16" s="347"/>
    </row>
    <row r="17" spans="2:13" s="12" customFormat="1" ht="15" customHeight="1" x14ac:dyDescent="0.25">
      <c r="B17" s="424" t="s">
        <v>53</v>
      </c>
      <c r="C17" s="425"/>
      <c r="D17" s="425"/>
      <c r="E17" s="425"/>
      <c r="F17" s="425"/>
      <c r="G17" s="425"/>
      <c r="H17" s="425"/>
      <c r="I17" s="425"/>
      <c r="J17" s="352">
        <f>J15-J18</f>
        <v>188172</v>
      </c>
      <c r="K17" s="353">
        <f>K15-K18</f>
        <v>155903</v>
      </c>
      <c r="L17" s="353">
        <f>L15-L18</f>
        <v>77872</v>
      </c>
      <c r="M17" s="353">
        <f>M15-M18</f>
        <v>46433</v>
      </c>
    </row>
    <row r="18" spans="2:13" ht="15" customHeight="1" x14ac:dyDescent="0.25">
      <c r="B18" s="452" t="s">
        <v>138</v>
      </c>
      <c r="C18" s="453"/>
      <c r="D18" s="453"/>
      <c r="E18" s="453"/>
      <c r="F18" s="453"/>
      <c r="G18" s="453"/>
      <c r="H18" s="453"/>
      <c r="I18" s="453"/>
      <c r="J18" s="265">
        <v>160</v>
      </c>
      <c r="K18" s="354">
        <v>193</v>
      </c>
      <c r="L18" s="354">
        <v>-7</v>
      </c>
      <c r="M18" s="354">
        <v>59</v>
      </c>
    </row>
    <row r="19" spans="2:13" ht="15.75" customHeight="1" x14ac:dyDescent="0.25">
      <c r="B19" s="355"/>
      <c r="C19" s="355"/>
      <c r="D19" s="355"/>
      <c r="E19" s="355"/>
      <c r="F19" s="355"/>
      <c r="G19" s="355"/>
      <c r="H19" s="355"/>
      <c r="I19" s="355"/>
      <c r="J19" s="356"/>
      <c r="K19" s="356"/>
      <c r="L19" s="356"/>
      <c r="M19" s="356"/>
    </row>
    <row r="20" spans="2:13" ht="15.75" customHeight="1" x14ac:dyDescent="0.25">
      <c r="B20" s="201"/>
      <c r="C20" s="201"/>
      <c r="D20" s="201"/>
      <c r="E20" s="201"/>
      <c r="F20" s="201"/>
      <c r="G20" s="201"/>
      <c r="H20" s="201"/>
      <c r="I20" s="201"/>
      <c r="J20" s="270"/>
      <c r="K20" s="270"/>
    </row>
    <row r="21" spans="2:13" ht="15.75" customHeight="1" x14ac:dyDescent="0.25">
      <c r="B21" s="201"/>
      <c r="C21" s="201"/>
      <c r="D21" s="201"/>
      <c r="E21" s="201"/>
      <c r="F21" s="201"/>
      <c r="G21" s="201"/>
      <c r="H21" s="201"/>
      <c r="I21" s="201"/>
      <c r="J21" s="270"/>
      <c r="K21" s="270"/>
    </row>
    <row r="22" spans="2:13" ht="15.75" customHeight="1" x14ac:dyDescent="0.25">
      <c r="B22" s="201"/>
      <c r="C22" s="201"/>
      <c r="D22" s="201"/>
      <c r="E22" s="201"/>
      <c r="F22" s="201"/>
      <c r="G22" s="201"/>
      <c r="H22" s="201"/>
      <c r="I22" s="201"/>
      <c r="J22" s="270"/>
      <c r="K22" s="270"/>
    </row>
    <row r="23" spans="2:13" ht="15.75" customHeight="1" x14ac:dyDescent="0.25">
      <c r="B23" s="201"/>
      <c r="C23" s="201"/>
      <c r="D23" s="201"/>
      <c r="E23" s="201"/>
      <c r="F23" s="201"/>
      <c r="G23" s="201"/>
      <c r="H23" s="201"/>
      <c r="I23" s="201"/>
      <c r="J23" s="206"/>
      <c r="K23" s="206"/>
    </row>
    <row r="24" spans="2:13" ht="15.75" customHeight="1" x14ac:dyDescent="0.25">
      <c r="B24" s="201"/>
      <c r="C24" s="201"/>
      <c r="D24" s="201"/>
      <c r="E24" s="201"/>
      <c r="F24" s="201"/>
      <c r="G24" s="201"/>
      <c r="H24" s="201"/>
      <c r="I24" s="201"/>
      <c r="J24" s="270"/>
      <c r="K24" s="270"/>
    </row>
    <row r="25" spans="2:13" ht="15.75" customHeight="1" x14ac:dyDescent="0.25">
      <c r="B25" s="201"/>
      <c r="C25" s="201"/>
      <c r="D25" s="201"/>
      <c r="E25" s="201"/>
      <c r="F25" s="201"/>
      <c r="G25" s="201"/>
      <c r="H25" s="201"/>
      <c r="I25" s="201"/>
      <c r="J25" s="270"/>
      <c r="K25" s="270"/>
    </row>
    <row r="26" spans="2:13" s="12" customFormat="1" ht="15.75" customHeight="1" x14ac:dyDescent="0.25">
      <c r="B26" s="201"/>
      <c r="C26" s="201"/>
      <c r="D26" s="201"/>
      <c r="E26" s="201"/>
      <c r="F26" s="201"/>
      <c r="G26" s="201"/>
      <c r="H26" s="201"/>
      <c r="I26" s="201"/>
      <c r="J26" s="270"/>
      <c r="K26" s="270"/>
    </row>
    <row r="27" spans="2:13" ht="15.75" customHeight="1" x14ac:dyDescent="0.25">
      <c r="B27" s="201"/>
      <c r="C27" s="201"/>
      <c r="D27" s="201"/>
      <c r="E27" s="201"/>
      <c r="F27" s="201"/>
      <c r="G27" s="201"/>
      <c r="H27" s="201"/>
      <c r="I27" s="201"/>
      <c r="J27" s="270"/>
      <c r="K27" s="270"/>
    </row>
    <row r="28" spans="2:13" ht="15.75" customHeight="1" x14ac:dyDescent="0.25">
      <c r="B28" s="201"/>
      <c r="C28" s="201"/>
      <c r="D28" s="201"/>
      <c r="E28" s="201"/>
      <c r="F28" s="201"/>
      <c r="G28" s="201"/>
      <c r="H28" s="201"/>
      <c r="I28" s="201"/>
      <c r="J28" s="270"/>
      <c r="K28" s="270"/>
    </row>
    <row r="29" spans="2:13" ht="15.75" customHeight="1" x14ac:dyDescent="0.25">
      <c r="B29" s="201"/>
      <c r="C29" s="201"/>
      <c r="D29" s="201"/>
      <c r="E29" s="201"/>
      <c r="F29" s="201"/>
      <c r="G29" s="201"/>
      <c r="H29" s="201"/>
      <c r="I29" s="201"/>
      <c r="J29" s="270"/>
      <c r="K29" s="270"/>
    </row>
    <row r="30" spans="2:13" ht="15.75" customHeight="1" x14ac:dyDescent="0.25">
      <c r="B30" s="201"/>
      <c r="C30" s="201"/>
      <c r="D30" s="201"/>
      <c r="E30" s="201"/>
      <c r="F30" s="201"/>
      <c r="G30" s="201"/>
      <c r="H30" s="201"/>
      <c r="I30" s="201"/>
      <c r="J30" s="270"/>
      <c r="K30" s="270"/>
    </row>
    <row r="31" spans="2:13" ht="15.75" customHeight="1" x14ac:dyDescent="0.25">
      <c r="B31" s="201"/>
      <c r="C31" s="201"/>
      <c r="D31" s="201"/>
      <c r="E31" s="201"/>
      <c r="F31" s="201"/>
      <c r="G31" s="201"/>
      <c r="H31" s="201"/>
      <c r="I31" s="201"/>
      <c r="J31" s="270"/>
      <c r="K31" s="270"/>
    </row>
    <row r="32" spans="2:13" s="12" customFormat="1" ht="15.75" customHeight="1" x14ac:dyDescent="0.25">
      <c r="B32" s="201"/>
      <c r="C32" s="201"/>
      <c r="D32" s="201"/>
      <c r="E32" s="201"/>
      <c r="F32" s="201"/>
      <c r="G32" s="201"/>
      <c r="H32" s="201"/>
      <c r="I32" s="201"/>
      <c r="J32" s="270"/>
      <c r="K32" s="270"/>
    </row>
    <row r="33" spans="2:11" ht="15.75" customHeight="1" x14ac:dyDescent="0.25">
      <c r="B33" s="201"/>
      <c r="C33" s="201"/>
      <c r="D33" s="201"/>
      <c r="E33" s="201"/>
      <c r="F33" s="201"/>
      <c r="G33" s="201"/>
      <c r="H33" s="201"/>
      <c r="I33" s="201"/>
      <c r="J33" s="270"/>
      <c r="K33" s="270"/>
    </row>
    <row r="34" spans="2:11" ht="15.75" customHeight="1" x14ac:dyDescent="0.25">
      <c r="B34" s="201"/>
      <c r="C34" s="201"/>
      <c r="D34" s="201"/>
      <c r="E34" s="201"/>
      <c r="F34" s="201"/>
      <c r="G34" s="201"/>
      <c r="H34" s="201"/>
      <c r="I34" s="201"/>
      <c r="J34" s="270"/>
      <c r="K34" s="270"/>
    </row>
    <row r="35" spans="2:11" s="12" customFormat="1" ht="15.75" customHeight="1" x14ac:dyDescent="0.25">
      <c r="B35" s="201"/>
      <c r="C35" s="201"/>
      <c r="D35" s="201"/>
      <c r="E35" s="201"/>
      <c r="F35" s="201"/>
      <c r="G35" s="201"/>
      <c r="H35" s="201"/>
      <c r="I35" s="201"/>
      <c r="J35" s="270"/>
      <c r="K35" s="270"/>
    </row>
    <row r="36" spans="2:11" ht="15.75" customHeight="1" x14ac:dyDescent="0.25">
      <c r="B36" s="201"/>
      <c r="C36" s="201"/>
      <c r="D36" s="201"/>
      <c r="E36" s="201"/>
      <c r="F36" s="201"/>
      <c r="G36" s="201"/>
      <c r="H36" s="201"/>
      <c r="I36" s="201"/>
      <c r="J36" s="270"/>
      <c r="K36" s="270"/>
    </row>
    <row r="37" spans="2:11" s="12" customFormat="1" ht="15.75" customHeight="1" x14ac:dyDescent="0.25">
      <c r="B37" s="201"/>
      <c r="C37" s="201"/>
      <c r="D37" s="201"/>
      <c r="E37" s="201"/>
      <c r="F37" s="201"/>
      <c r="G37" s="201"/>
      <c r="H37" s="201"/>
      <c r="I37" s="201"/>
      <c r="J37" s="270"/>
      <c r="K37" s="270"/>
    </row>
    <row r="38" spans="2:11" s="358" customFormat="1" ht="15.75" customHeight="1" x14ac:dyDescent="0.25">
      <c r="B38" s="357"/>
      <c r="C38" s="357"/>
      <c r="D38" s="357"/>
      <c r="E38" s="357"/>
      <c r="F38" s="357"/>
      <c r="G38" s="357"/>
      <c r="H38" s="357"/>
      <c r="I38" s="357"/>
      <c r="J38" s="270"/>
      <c r="K38" s="270"/>
    </row>
    <row r="39" spans="2:11" ht="15.75" customHeight="1" x14ac:dyDescent="0.25"/>
    <row r="40" spans="2:11" ht="15.75" customHeight="1" x14ac:dyDescent="0.25"/>
    <row r="41" spans="2:11" ht="15.75" customHeight="1" x14ac:dyDescent="0.25"/>
    <row r="42" spans="2:11" ht="15.75" customHeight="1" x14ac:dyDescent="0.25"/>
    <row r="43" spans="2:11" ht="15.75" customHeight="1" x14ac:dyDescent="0.25"/>
    <row r="44" spans="2:11" ht="15" customHeight="1" x14ac:dyDescent="0.25"/>
  </sheetData>
  <mergeCells count="12">
    <mergeCell ref="B2:C2"/>
    <mergeCell ref="B5:I5"/>
    <mergeCell ref="B18:I18"/>
    <mergeCell ref="B7:I7"/>
    <mergeCell ref="B8:I8"/>
    <mergeCell ref="B9:I9"/>
    <mergeCell ref="B10:I10"/>
    <mergeCell ref="B11:I11"/>
    <mergeCell ref="B12:I12"/>
    <mergeCell ref="B13:I13"/>
    <mergeCell ref="B15:I15"/>
    <mergeCell ref="B17:I1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&amp;CPage 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K20"/>
  <sheetViews>
    <sheetView workbookViewId="0"/>
  </sheetViews>
  <sheetFormatPr defaultColWidth="11.44140625" defaultRowHeight="13.8" x14ac:dyDescent="0.25"/>
  <cols>
    <col min="1" max="1" width="2.6640625" style="3" customWidth="1"/>
    <col min="2" max="2" width="14.33203125" style="3" customWidth="1"/>
    <col min="3" max="16384" width="11.44140625" style="3"/>
  </cols>
  <sheetData>
    <row r="1" spans="2:11" x14ac:dyDescent="0.25">
      <c r="K1" s="359"/>
    </row>
    <row r="9" spans="2:11" ht="17.399999999999999" x14ac:dyDescent="0.3">
      <c r="B9" s="9" t="s">
        <v>8</v>
      </c>
    </row>
    <row r="10" spans="2:11" ht="17.399999999999999" x14ac:dyDescent="0.3">
      <c r="B10" s="360" t="s">
        <v>10</v>
      </c>
    </row>
    <row r="11" spans="2:11" ht="17.399999999999999" x14ac:dyDescent="0.3">
      <c r="B11" s="360" t="s">
        <v>9</v>
      </c>
    </row>
    <row r="12" spans="2:11" ht="17.399999999999999" x14ac:dyDescent="0.3">
      <c r="B12" s="360" t="s">
        <v>140</v>
      </c>
    </row>
    <row r="14" spans="2:11" ht="17.399999999999999" x14ac:dyDescent="0.3">
      <c r="B14" s="360"/>
    </row>
    <row r="15" spans="2:11" ht="15" customHeight="1" x14ac:dyDescent="0.3">
      <c r="B15" s="360"/>
    </row>
    <row r="16" spans="2:11" ht="17.399999999999999" x14ac:dyDescent="0.3">
      <c r="B16" s="360" t="s">
        <v>139</v>
      </c>
      <c r="C16" s="360" t="s">
        <v>12</v>
      </c>
    </row>
    <row r="17" spans="2:3" ht="17.399999999999999" x14ac:dyDescent="0.3">
      <c r="B17" s="360" t="s">
        <v>13</v>
      </c>
      <c r="C17" s="360" t="s">
        <v>14</v>
      </c>
    </row>
    <row r="18" spans="2:3" ht="17.399999999999999" x14ac:dyDescent="0.3">
      <c r="B18" s="360" t="s">
        <v>15</v>
      </c>
      <c r="C18" s="361" t="s">
        <v>16</v>
      </c>
    </row>
    <row r="20" spans="2:3" ht="17.399999999999999" x14ac:dyDescent="0.3">
      <c r="B20" s="360" t="s">
        <v>11</v>
      </c>
    </row>
  </sheetData>
  <hyperlinks>
    <hyperlink ref="C18" r:id="rId1" xr:uid="{00000000-0004-0000-0A00-000000000000}"/>
  </hyperlinks>
  <pageMargins left="0.25" right="0.25" top="0.75" bottom="0.75" header="0.3" footer="0.3"/>
  <pageSetup paperSize="9" orientation="landscape" r:id="rId2"/>
  <headerFooter>
    <oddHeader>&amp;C&amp;G</oddHead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K1"/>
  <sheetViews>
    <sheetView workbookViewId="0">
      <selection activeCell="F26" sqref="F26"/>
    </sheetView>
  </sheetViews>
  <sheetFormatPr defaultColWidth="11.44140625" defaultRowHeight="14.4" x14ac:dyDescent="0.3"/>
  <sheetData>
    <row r="1" spans="11:11" x14ac:dyDescent="0.3">
      <c r="K1" s="1" t="s">
        <v>6</v>
      </c>
    </row>
  </sheetData>
  <pageMargins left="0.25" right="0.25" top="0.75" bottom="0.75" header="0.3" footer="0.3"/>
  <pageSetup paperSize="9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6:E29"/>
  <sheetViews>
    <sheetView workbookViewId="0"/>
  </sheetViews>
  <sheetFormatPr defaultColWidth="11.44140625" defaultRowHeight="13.8" x14ac:dyDescent="0.25"/>
  <cols>
    <col min="1" max="1" width="2.6640625" style="3" customWidth="1"/>
    <col min="2" max="2" width="7.109375" style="3" customWidth="1"/>
    <col min="3" max="16384" width="11.44140625" style="3"/>
  </cols>
  <sheetData>
    <row r="6" spans="2:3" ht="17.399999999999999" x14ac:dyDescent="0.3">
      <c r="B6" s="9" t="s">
        <v>20</v>
      </c>
    </row>
    <row r="9" spans="2:3" x14ac:dyDescent="0.25">
      <c r="B9" s="8" t="s">
        <v>141</v>
      </c>
      <c r="C9" s="8" t="s">
        <v>156</v>
      </c>
    </row>
    <row r="10" spans="2:3" ht="7.5" customHeight="1" x14ac:dyDescent="0.25">
      <c r="B10" s="8"/>
      <c r="C10" s="8"/>
    </row>
    <row r="11" spans="2:3" x14ac:dyDescent="0.25">
      <c r="B11" s="8" t="s">
        <v>142</v>
      </c>
      <c r="C11" s="8" t="s">
        <v>171</v>
      </c>
    </row>
    <row r="12" spans="2:3" ht="7.5" customHeight="1" x14ac:dyDescent="0.25">
      <c r="B12" s="8"/>
      <c r="C12" s="8"/>
    </row>
    <row r="13" spans="2:3" x14ac:dyDescent="0.25">
      <c r="B13" s="8" t="s">
        <v>143</v>
      </c>
      <c r="C13" s="8" t="s">
        <v>157</v>
      </c>
    </row>
    <row r="14" spans="2:3" ht="7.5" customHeight="1" x14ac:dyDescent="0.25">
      <c r="B14" s="8"/>
      <c r="C14" s="8"/>
    </row>
    <row r="15" spans="2:3" x14ac:dyDescent="0.25">
      <c r="B15" s="8" t="s">
        <v>144</v>
      </c>
      <c r="C15" s="8" t="s">
        <v>160</v>
      </c>
    </row>
    <row r="16" spans="2:3" ht="7.5" customHeight="1" x14ac:dyDescent="0.25">
      <c r="B16" s="8"/>
      <c r="C16" s="8"/>
    </row>
    <row r="17" spans="2:5" x14ac:dyDescent="0.25">
      <c r="B17" s="8" t="s">
        <v>145</v>
      </c>
      <c r="C17" s="8" t="s">
        <v>159</v>
      </c>
    </row>
    <row r="18" spans="2:5" ht="7.5" customHeight="1" x14ac:dyDescent="0.25">
      <c r="B18" s="8"/>
      <c r="C18" s="8"/>
    </row>
    <row r="19" spans="2:5" x14ac:dyDescent="0.25">
      <c r="B19" s="8" t="s">
        <v>146</v>
      </c>
      <c r="C19" s="8" t="s">
        <v>158</v>
      </c>
    </row>
    <row r="20" spans="2:5" ht="7.5" customHeight="1" x14ac:dyDescent="0.25">
      <c r="B20" s="8"/>
      <c r="C20" s="8"/>
    </row>
    <row r="21" spans="2:5" x14ac:dyDescent="0.25">
      <c r="B21" s="8" t="s">
        <v>147</v>
      </c>
      <c r="C21" s="8" t="s">
        <v>161</v>
      </c>
    </row>
    <row r="22" spans="2:5" ht="7.5" customHeight="1" x14ac:dyDescent="0.25">
      <c r="B22" s="8"/>
      <c r="C22" s="8"/>
    </row>
    <row r="23" spans="2:5" x14ac:dyDescent="0.25">
      <c r="B23" s="8" t="s">
        <v>148</v>
      </c>
      <c r="C23" s="8" t="s">
        <v>162</v>
      </c>
      <c r="D23" s="8"/>
      <c r="E23" s="8"/>
    </row>
    <row r="24" spans="2:5" ht="7.5" customHeight="1" x14ac:dyDescent="0.25">
      <c r="B24" s="8"/>
      <c r="C24" s="8"/>
      <c r="D24" s="8"/>
      <c r="E24" s="8"/>
    </row>
    <row r="25" spans="2:5" x14ac:dyDescent="0.25">
      <c r="B25" s="8"/>
      <c r="D25" s="8"/>
      <c r="E25" s="8"/>
    </row>
    <row r="26" spans="2:5" x14ac:dyDescent="0.25">
      <c r="B26" s="8"/>
      <c r="C26" s="8"/>
      <c r="D26" s="8"/>
      <c r="E26" s="8"/>
    </row>
    <row r="27" spans="2:5" x14ac:dyDescent="0.25">
      <c r="B27" s="8"/>
      <c r="C27" s="8"/>
      <c r="D27" s="8"/>
      <c r="E27" s="8"/>
    </row>
    <row r="28" spans="2:5" x14ac:dyDescent="0.25">
      <c r="B28" s="8"/>
      <c r="D28" s="8"/>
      <c r="E28" s="8"/>
    </row>
    <row r="29" spans="2:5" x14ac:dyDescent="0.25">
      <c r="B29" s="8"/>
      <c r="C29" s="8"/>
      <c r="D29" s="8"/>
      <c r="E29" s="8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8"/>
  <sheetViews>
    <sheetView zoomScaleNormal="100" workbookViewId="0"/>
  </sheetViews>
  <sheetFormatPr defaultColWidth="9.109375" defaultRowHeight="13.8" x14ac:dyDescent="0.25"/>
  <cols>
    <col min="1" max="1" width="2.6640625" style="3" customWidth="1"/>
    <col min="2" max="7" width="9.44140625" style="3" customWidth="1"/>
    <col min="8" max="13" width="12.88671875" style="3" customWidth="1"/>
    <col min="14" max="16384" width="9.109375" style="3"/>
  </cols>
  <sheetData>
    <row r="1" spans="2:13" ht="15" customHeight="1" x14ac:dyDescent="0.25">
      <c r="B1" s="377" t="s">
        <v>163</v>
      </c>
      <c r="C1" s="377"/>
      <c r="D1" s="377"/>
      <c r="E1" s="377"/>
      <c r="F1" s="377"/>
      <c r="G1" s="377"/>
      <c r="H1" s="10"/>
      <c r="I1" s="11"/>
      <c r="J1" s="11"/>
      <c r="K1" s="11"/>
      <c r="L1" s="11"/>
      <c r="M1" s="11"/>
    </row>
    <row r="2" spans="2:13" ht="15" customHeight="1" x14ac:dyDescent="0.25">
      <c r="B2" s="384"/>
      <c r="C2" s="384"/>
      <c r="D2" s="384"/>
      <c r="E2" s="12"/>
      <c r="F2" s="12"/>
      <c r="G2" s="12"/>
      <c r="H2" s="12"/>
      <c r="I2" s="12"/>
      <c r="J2" s="12"/>
    </row>
    <row r="3" spans="2:13" ht="25.5" customHeight="1" x14ac:dyDescent="0.25">
      <c r="B3" s="13" t="s">
        <v>204</v>
      </c>
      <c r="C3" s="14"/>
      <c r="D3" s="14"/>
      <c r="E3" s="14"/>
      <c r="F3" s="14"/>
      <c r="G3" s="15"/>
      <c r="H3" s="16" t="s">
        <v>172</v>
      </c>
      <c r="I3" s="16" t="s">
        <v>173</v>
      </c>
      <c r="J3" s="17" t="s">
        <v>23</v>
      </c>
      <c r="K3" s="18" t="s">
        <v>174</v>
      </c>
      <c r="L3" s="18" t="s">
        <v>175</v>
      </c>
      <c r="M3" s="17" t="s">
        <v>23</v>
      </c>
    </row>
    <row r="4" spans="2:13" ht="15" customHeight="1" x14ac:dyDescent="0.25">
      <c r="B4" s="382" t="s">
        <v>22</v>
      </c>
      <c r="C4" s="383"/>
      <c r="D4" s="19"/>
      <c r="E4" s="19"/>
      <c r="F4" s="19"/>
      <c r="G4" s="19"/>
      <c r="H4" s="20">
        <f>SUM(H5:H7)</f>
        <v>873.09999999999991</v>
      </c>
      <c r="I4" s="20">
        <f>SUM(I5:I7)</f>
        <v>857.80000000000007</v>
      </c>
      <c r="J4" s="21">
        <f>(H4-I4)/I4</f>
        <v>1.783632548379557E-2</v>
      </c>
      <c r="K4" s="22">
        <f>SUM(K5:K7)</f>
        <v>257.5</v>
      </c>
      <c r="L4" s="20">
        <f>SUM(L5:L7)</f>
        <v>247.29999999999998</v>
      </c>
      <c r="M4" s="21">
        <f>(K4-L4)/L4</f>
        <v>4.124545086938948E-2</v>
      </c>
    </row>
    <row r="5" spans="2:13" ht="15" customHeight="1" x14ac:dyDescent="0.25">
      <c r="B5" s="23"/>
      <c r="C5" s="372" t="s">
        <v>24</v>
      </c>
      <c r="D5" s="372"/>
      <c r="E5" s="372"/>
      <c r="F5" s="24"/>
      <c r="G5" s="25"/>
      <c r="H5" s="26">
        <v>678.8</v>
      </c>
      <c r="I5" s="26">
        <v>641.4</v>
      </c>
      <c r="J5" s="27">
        <f>(H5-I5)/I5</f>
        <v>5.8309946990957248E-2</v>
      </c>
      <c r="K5" s="28">
        <v>205.6</v>
      </c>
      <c r="L5" s="26">
        <v>195</v>
      </c>
      <c r="M5" s="27">
        <f>(K5-L5)/L5</f>
        <v>5.4358974358974327E-2</v>
      </c>
    </row>
    <row r="6" spans="2:13" ht="15" customHeight="1" x14ac:dyDescent="0.25">
      <c r="B6" s="23"/>
      <c r="C6" s="372" t="s">
        <v>25</v>
      </c>
      <c r="D6" s="372"/>
      <c r="E6" s="372"/>
      <c r="F6" s="24"/>
      <c r="G6" s="25"/>
      <c r="H6" s="26">
        <v>193.4</v>
      </c>
      <c r="I6" s="26">
        <v>215.8</v>
      </c>
      <c r="J6" s="27">
        <f>(H6-I6)/I6</f>
        <v>-0.10379981464318816</v>
      </c>
      <c r="K6" s="28">
        <v>51.7</v>
      </c>
      <c r="L6" s="26">
        <v>52.2</v>
      </c>
      <c r="M6" s="27">
        <f>(K6-L6)/L6</f>
        <v>-9.5785440613026813E-3</v>
      </c>
    </row>
    <row r="7" spans="2:13" ht="15" customHeight="1" x14ac:dyDescent="0.25">
      <c r="B7" s="29"/>
      <c r="C7" s="365" t="s">
        <v>26</v>
      </c>
      <c r="D7" s="365"/>
      <c r="E7" s="365"/>
      <c r="F7" s="30"/>
      <c r="G7" s="31"/>
      <c r="H7" s="32">
        <v>0.9</v>
      </c>
      <c r="I7" s="32">
        <v>0.6</v>
      </c>
      <c r="J7" s="33"/>
      <c r="K7" s="34">
        <v>0.2</v>
      </c>
      <c r="L7" s="32">
        <v>0.1</v>
      </c>
      <c r="M7" s="33"/>
    </row>
    <row r="8" spans="2:13" ht="15" customHeight="1" x14ac:dyDescent="0.25">
      <c r="B8" s="382" t="s">
        <v>27</v>
      </c>
      <c r="C8" s="383"/>
      <c r="D8" s="19"/>
      <c r="E8" s="19"/>
      <c r="F8" s="19"/>
      <c r="G8" s="19"/>
      <c r="H8" s="35"/>
      <c r="I8" s="36"/>
      <c r="J8" s="37"/>
      <c r="K8" s="35"/>
      <c r="L8" s="36"/>
      <c r="M8" s="37"/>
    </row>
    <row r="9" spans="2:13" ht="15" customHeight="1" x14ac:dyDescent="0.25">
      <c r="B9" s="23"/>
      <c r="C9" s="372" t="s">
        <v>0</v>
      </c>
      <c r="D9" s="372"/>
      <c r="E9" s="372"/>
      <c r="F9" s="24"/>
      <c r="G9" s="25"/>
      <c r="H9" s="38">
        <v>431.5</v>
      </c>
      <c r="I9" s="26">
        <v>394.5</v>
      </c>
      <c r="J9" s="27">
        <f>(H9-I9)/I9</f>
        <v>9.378960709759189E-2</v>
      </c>
      <c r="K9" s="28">
        <v>137.6</v>
      </c>
      <c r="L9" s="26">
        <v>118.1</v>
      </c>
      <c r="M9" s="27">
        <f>(K9-L9)/L9</f>
        <v>0.1651143099068586</v>
      </c>
    </row>
    <row r="10" spans="2:13" ht="15" customHeight="1" x14ac:dyDescent="0.25">
      <c r="B10" s="23"/>
      <c r="C10" s="372" t="s">
        <v>1</v>
      </c>
      <c r="D10" s="372"/>
      <c r="E10" s="372"/>
      <c r="F10" s="24"/>
      <c r="G10" s="25"/>
      <c r="H10" s="38">
        <v>248</v>
      </c>
      <c r="I10" s="26">
        <v>245.3</v>
      </c>
      <c r="J10" s="27">
        <f>(H10-I10)/I10</f>
        <v>1.1006930289441453E-2</v>
      </c>
      <c r="K10" s="28">
        <v>68.099999999999994</v>
      </c>
      <c r="L10" s="26">
        <v>77</v>
      </c>
      <c r="M10" s="27">
        <f>(K10-L10)/L10</f>
        <v>-0.11558441558441566</v>
      </c>
    </row>
    <row r="11" spans="2:13" ht="15" customHeight="1" thickBot="1" x14ac:dyDescent="0.3">
      <c r="B11" s="39"/>
      <c r="C11" s="366" t="s">
        <v>2</v>
      </c>
      <c r="D11" s="366"/>
      <c r="E11" s="366"/>
      <c r="F11" s="40"/>
      <c r="G11" s="41"/>
      <c r="H11" s="42">
        <v>193.6</v>
      </c>
      <c r="I11" s="43">
        <v>218</v>
      </c>
      <c r="J11" s="44">
        <f>(H11-I11)/I11</f>
        <v>-0.11192660550458718</v>
      </c>
      <c r="K11" s="45">
        <v>51.8</v>
      </c>
      <c r="L11" s="43">
        <v>52.2</v>
      </c>
      <c r="M11" s="44">
        <f>(K11-L11)/L11</f>
        <v>-7.6628352490422545E-3</v>
      </c>
    </row>
    <row r="12" spans="2:13" ht="15" customHeight="1" x14ac:dyDescent="0.25">
      <c r="B12" s="378" t="s">
        <v>3</v>
      </c>
      <c r="C12" s="379"/>
      <c r="D12" s="46"/>
      <c r="E12" s="46"/>
      <c r="F12" s="46"/>
      <c r="G12" s="46"/>
      <c r="H12" s="47">
        <v>209.4</v>
      </c>
      <c r="I12" s="48">
        <v>176</v>
      </c>
      <c r="J12" s="49">
        <f>(H12-I12)/I12</f>
        <v>0.18977272727272732</v>
      </c>
      <c r="K12" s="50">
        <v>80.099999999999994</v>
      </c>
      <c r="L12" s="48">
        <v>71.400000000000006</v>
      </c>
      <c r="M12" s="49">
        <f>(K12-L12)/L12</f>
        <v>0.12184873949579815</v>
      </c>
    </row>
    <row r="13" spans="2:13" ht="15" customHeight="1" thickBot="1" x14ac:dyDescent="0.3">
      <c r="B13" s="51"/>
      <c r="C13" s="366" t="s">
        <v>28</v>
      </c>
      <c r="D13" s="366"/>
      <c r="E13" s="366"/>
      <c r="F13" s="40"/>
      <c r="G13" s="52"/>
      <c r="H13" s="53">
        <f>H12/H4</f>
        <v>0.23983507043866686</v>
      </c>
      <c r="I13" s="53">
        <f>I12/I4</f>
        <v>0.20517603170902307</v>
      </c>
      <c r="J13" s="54"/>
      <c r="K13" s="55">
        <f>K12/K4</f>
        <v>0.31106796116504853</v>
      </c>
      <c r="L13" s="53">
        <f>L12/L4</f>
        <v>0.28871815608572587</v>
      </c>
      <c r="M13" s="54"/>
    </row>
    <row r="14" spans="2:13" ht="15" customHeight="1" x14ac:dyDescent="0.25">
      <c r="B14" s="380" t="s">
        <v>29</v>
      </c>
      <c r="C14" s="381"/>
      <c r="D14" s="56"/>
      <c r="E14" s="56"/>
      <c r="F14" s="56"/>
      <c r="G14" s="56"/>
      <c r="H14" s="47">
        <v>139.6</v>
      </c>
      <c r="I14" s="48">
        <v>110.6</v>
      </c>
      <c r="J14" s="57">
        <f>(H14-I14)/I14</f>
        <v>0.26220614828209765</v>
      </c>
      <c r="K14" s="50">
        <v>56.2</v>
      </c>
      <c r="L14" s="48">
        <v>47.4</v>
      </c>
      <c r="M14" s="57">
        <f>(K14-L14)/L14</f>
        <v>0.18565400843881866</v>
      </c>
    </row>
    <row r="15" spans="2:13" ht="15" customHeight="1" thickBot="1" x14ac:dyDescent="0.3">
      <c r="B15" s="51"/>
      <c r="C15" s="366" t="s">
        <v>28</v>
      </c>
      <c r="D15" s="366"/>
      <c r="E15" s="366"/>
      <c r="F15" s="40"/>
      <c r="G15" s="52"/>
      <c r="H15" s="58">
        <f>H14/H4</f>
        <v>0.15989004695911122</v>
      </c>
      <c r="I15" s="59">
        <f>I14/I4</f>
        <v>0.12893448356260198</v>
      </c>
      <c r="J15" s="54"/>
      <c r="K15" s="60">
        <f>K14/K4</f>
        <v>0.21825242718446602</v>
      </c>
      <c r="L15" s="59">
        <f>L14/L4</f>
        <v>0.19167003639304489</v>
      </c>
      <c r="M15" s="54"/>
    </row>
    <row r="16" spans="2:13" ht="15" customHeight="1" x14ac:dyDescent="0.25">
      <c r="B16" s="367" t="s">
        <v>151</v>
      </c>
      <c r="C16" s="368"/>
      <c r="D16" s="368"/>
      <c r="E16" s="368"/>
      <c r="F16" s="61"/>
      <c r="G16" s="62"/>
      <c r="H16" s="63" t="s">
        <v>194</v>
      </c>
      <c r="I16" s="63" t="s">
        <v>182</v>
      </c>
      <c r="J16" s="64" t="s">
        <v>196</v>
      </c>
      <c r="K16" s="63" t="s">
        <v>195</v>
      </c>
      <c r="L16" s="63" t="s">
        <v>183</v>
      </c>
      <c r="M16" s="64" t="s">
        <v>197</v>
      </c>
    </row>
    <row r="17" spans="2:13" ht="15" customHeight="1" x14ac:dyDescent="0.25">
      <c r="B17" s="369" t="s">
        <v>4</v>
      </c>
      <c r="C17" s="370"/>
      <c r="D17" s="19"/>
      <c r="E17" s="65"/>
      <c r="F17" s="65"/>
      <c r="G17" s="65"/>
      <c r="H17" s="66">
        <v>170</v>
      </c>
      <c r="I17" s="67">
        <v>132.69999999999999</v>
      </c>
      <c r="J17" s="68">
        <f>(H17-I17)/I17</f>
        <v>0.28108515448379817</v>
      </c>
      <c r="K17" s="69">
        <v>41.2</v>
      </c>
      <c r="L17" s="20">
        <v>47</v>
      </c>
      <c r="M17" s="21">
        <f>(K17-L17)/L17</f>
        <v>-0.12340425531914888</v>
      </c>
    </row>
    <row r="18" spans="2:13" ht="15" customHeight="1" thickBot="1" x14ac:dyDescent="0.3">
      <c r="B18" s="70"/>
      <c r="C18" s="40"/>
      <c r="D18" s="41"/>
      <c r="E18" s="52"/>
      <c r="F18" s="52"/>
      <c r="G18" s="52"/>
      <c r="H18" s="51"/>
      <c r="I18" s="71"/>
      <c r="J18" s="72"/>
      <c r="K18" s="51"/>
      <c r="L18" s="71"/>
      <c r="M18" s="44"/>
    </row>
    <row r="19" spans="2:13" ht="15" customHeight="1" x14ac:dyDescent="0.25">
      <c r="B19" s="371" t="s">
        <v>30</v>
      </c>
      <c r="C19" s="372"/>
      <c r="D19" s="372"/>
      <c r="E19" s="372"/>
      <c r="F19" s="24"/>
      <c r="G19" s="46"/>
      <c r="H19" s="73">
        <v>4337</v>
      </c>
      <c r="I19" s="73">
        <v>4421</v>
      </c>
      <c r="J19" s="74"/>
      <c r="K19" s="75"/>
      <c r="L19" s="76"/>
      <c r="M19" s="74"/>
    </row>
    <row r="20" spans="2:13" ht="15" customHeight="1" x14ac:dyDescent="0.25">
      <c r="B20" s="23"/>
      <c r="C20" s="372" t="s">
        <v>31</v>
      </c>
      <c r="D20" s="372"/>
      <c r="E20" s="372"/>
      <c r="F20" s="24"/>
      <c r="G20" s="46"/>
      <c r="H20" s="73">
        <v>1178</v>
      </c>
      <c r="I20" s="73">
        <v>1216</v>
      </c>
      <c r="J20" s="74"/>
      <c r="K20" s="75"/>
      <c r="L20" s="76"/>
      <c r="M20" s="74"/>
    </row>
    <row r="21" spans="2:13" ht="15" customHeight="1" thickBot="1" x14ac:dyDescent="0.3">
      <c r="B21" s="23"/>
      <c r="C21" s="24" t="s">
        <v>32</v>
      </c>
      <c r="D21" s="24"/>
      <c r="E21" s="24"/>
      <c r="F21" s="24"/>
      <c r="G21" s="46"/>
      <c r="H21" s="77">
        <v>992</v>
      </c>
      <c r="I21" s="78">
        <v>968</v>
      </c>
      <c r="J21" s="74"/>
      <c r="K21" s="75"/>
      <c r="L21" s="76"/>
      <c r="M21" s="74"/>
    </row>
    <row r="22" spans="2:13" ht="25.5" customHeight="1" x14ac:dyDescent="0.25">
      <c r="B22" s="375" t="s">
        <v>33</v>
      </c>
      <c r="C22" s="376"/>
      <c r="D22" s="79"/>
      <c r="E22" s="79"/>
      <c r="F22" s="79"/>
      <c r="G22" s="79"/>
      <c r="H22" s="80" t="s">
        <v>176</v>
      </c>
      <c r="I22" s="80" t="s">
        <v>34</v>
      </c>
      <c r="J22" s="81"/>
      <c r="K22" s="82"/>
      <c r="L22" s="83"/>
      <c r="M22" s="81"/>
    </row>
    <row r="23" spans="2:13" ht="15" customHeight="1" x14ac:dyDescent="0.25">
      <c r="B23" s="373" t="s">
        <v>35</v>
      </c>
      <c r="C23" s="374"/>
      <c r="D23" s="84"/>
      <c r="E23" s="84"/>
      <c r="F23" s="84"/>
      <c r="G23" s="85"/>
      <c r="H23" s="86">
        <v>1814.8</v>
      </c>
      <c r="I23" s="87">
        <v>1848.9</v>
      </c>
      <c r="J23" s="88"/>
      <c r="K23" s="89"/>
      <c r="L23" s="90"/>
      <c r="M23" s="88"/>
    </row>
    <row r="24" spans="2:13" ht="15" customHeight="1" x14ac:dyDescent="0.25">
      <c r="B24" s="373" t="s">
        <v>36</v>
      </c>
      <c r="C24" s="374"/>
      <c r="D24" s="374"/>
      <c r="E24" s="374"/>
      <c r="F24" s="374"/>
      <c r="G24" s="374"/>
      <c r="H24" s="86">
        <v>300.60000000000002</v>
      </c>
      <c r="I24" s="87">
        <v>318.39999999999998</v>
      </c>
      <c r="J24" s="88"/>
      <c r="K24" s="89"/>
      <c r="L24" s="90"/>
      <c r="M24" s="88"/>
    </row>
    <row r="25" spans="2:13" ht="15" customHeight="1" x14ac:dyDescent="0.25">
      <c r="B25" s="373" t="s">
        <v>37</v>
      </c>
      <c r="C25" s="374"/>
      <c r="D25" s="374"/>
      <c r="E25" s="84"/>
      <c r="F25" s="84"/>
      <c r="G25" s="85"/>
      <c r="H25" s="86">
        <v>25.7</v>
      </c>
      <c r="I25" s="87">
        <v>132.9</v>
      </c>
      <c r="J25" s="88"/>
      <c r="K25" s="89"/>
      <c r="L25" s="90"/>
      <c r="M25" s="88"/>
    </row>
    <row r="26" spans="2:13" ht="15" customHeight="1" x14ac:dyDescent="0.25">
      <c r="B26" s="371" t="s">
        <v>38</v>
      </c>
      <c r="C26" s="372"/>
      <c r="D26" s="25"/>
      <c r="E26" s="25"/>
      <c r="F26" s="25"/>
      <c r="G26" s="46"/>
      <c r="H26" s="91">
        <v>1089.7</v>
      </c>
      <c r="I26" s="20">
        <v>1013.4</v>
      </c>
      <c r="J26" s="92"/>
      <c r="K26" s="75"/>
      <c r="L26" s="93"/>
      <c r="M26" s="92"/>
    </row>
    <row r="27" spans="2:13" ht="15" customHeight="1" x14ac:dyDescent="0.25">
      <c r="B27" s="29"/>
      <c r="C27" s="365" t="s">
        <v>39</v>
      </c>
      <c r="D27" s="365"/>
      <c r="E27" s="365"/>
      <c r="F27" s="30"/>
      <c r="G27" s="94"/>
      <c r="H27" s="95">
        <f>H26/H23</f>
        <v>0.60045184042318722</v>
      </c>
      <c r="I27" s="96">
        <f>I26/I23</f>
        <v>0.54810968684082428</v>
      </c>
      <c r="J27" s="97"/>
      <c r="K27" s="98"/>
      <c r="L27" s="99"/>
      <c r="M27" s="97"/>
    </row>
    <row r="28" spans="2:13" ht="15" customHeight="1" x14ac:dyDescent="0.25">
      <c r="B28" s="10" t="s">
        <v>21</v>
      </c>
      <c r="C28" s="11"/>
      <c r="D28" s="11"/>
      <c r="E28" s="11"/>
      <c r="F28" s="11"/>
    </row>
  </sheetData>
  <mergeCells count="24">
    <mergeCell ref="B1:G1"/>
    <mergeCell ref="B12:C12"/>
    <mergeCell ref="C13:E13"/>
    <mergeCell ref="B14:C14"/>
    <mergeCell ref="B4:C4"/>
    <mergeCell ref="B8:C8"/>
    <mergeCell ref="C5:E5"/>
    <mergeCell ref="C6:E6"/>
    <mergeCell ref="C7:E7"/>
    <mergeCell ref="B2:D2"/>
    <mergeCell ref="C9:E9"/>
    <mergeCell ref="C10:E10"/>
    <mergeCell ref="C11:E11"/>
    <mergeCell ref="C27:E27"/>
    <mergeCell ref="C15:E15"/>
    <mergeCell ref="B16:E16"/>
    <mergeCell ref="B17:C17"/>
    <mergeCell ref="B19:E19"/>
    <mergeCell ref="C20:E20"/>
    <mergeCell ref="B23:C23"/>
    <mergeCell ref="B24:G24"/>
    <mergeCell ref="B25:D25"/>
    <mergeCell ref="B26:C26"/>
    <mergeCell ref="B22:C22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&amp;CPage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30"/>
  <sheetViews>
    <sheetView zoomScaleNormal="100" workbookViewId="0"/>
  </sheetViews>
  <sheetFormatPr defaultColWidth="9.109375" defaultRowHeight="13.8" x14ac:dyDescent="0.25"/>
  <cols>
    <col min="1" max="1" width="2.6640625" style="3" customWidth="1"/>
    <col min="2" max="7" width="9.44140625" style="3" customWidth="1"/>
    <col min="8" max="13" width="12.88671875" style="3" customWidth="1"/>
    <col min="14" max="17" width="9.109375" style="3"/>
    <col min="18" max="18" width="18.109375" style="362" customWidth="1"/>
    <col min="19" max="16384" width="9.109375" style="3"/>
  </cols>
  <sheetData>
    <row r="1" spans="2:13" ht="15" customHeight="1" x14ac:dyDescent="0.25">
      <c r="B1" s="159" t="s">
        <v>170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3" ht="15" customHeight="1" x14ac:dyDescent="0.25">
      <c r="B2" s="100"/>
      <c r="C2" s="100"/>
      <c r="D2" s="12"/>
      <c r="E2" s="12"/>
      <c r="F2" s="12"/>
      <c r="G2" s="12"/>
      <c r="H2" s="12"/>
      <c r="I2" s="12"/>
      <c r="J2" s="12"/>
    </row>
    <row r="3" spans="2:13" ht="25.5" customHeight="1" x14ac:dyDescent="0.25">
      <c r="B3" s="101" t="s">
        <v>59</v>
      </c>
      <c r="C3" s="102"/>
      <c r="D3" s="102"/>
      <c r="E3" s="102"/>
      <c r="F3" s="102"/>
      <c r="G3" s="102"/>
      <c r="H3" s="103" t="s">
        <v>172</v>
      </c>
      <c r="I3" s="103" t="s">
        <v>173</v>
      </c>
      <c r="J3" s="104" t="s">
        <v>23</v>
      </c>
      <c r="K3" s="104" t="s">
        <v>174</v>
      </c>
      <c r="L3" s="104" t="s">
        <v>175</v>
      </c>
      <c r="M3" s="105" t="s">
        <v>23</v>
      </c>
    </row>
    <row r="4" spans="2:13" ht="15" customHeight="1" x14ac:dyDescent="0.25">
      <c r="B4" s="106" t="s">
        <v>40</v>
      </c>
      <c r="C4" s="107"/>
      <c r="D4" s="107"/>
      <c r="E4" s="107"/>
      <c r="F4" s="107"/>
      <c r="G4" s="107"/>
      <c r="H4" s="108">
        <v>271901</v>
      </c>
      <c r="I4" s="109">
        <v>270099</v>
      </c>
      <c r="J4" s="27">
        <f>(H4-I4)/I4</f>
        <v>6.6716278105435414E-3</v>
      </c>
      <c r="K4" s="110">
        <v>102950</v>
      </c>
      <c r="L4" s="111">
        <v>98605</v>
      </c>
      <c r="M4" s="27">
        <f t="shared" ref="M4:M20" si="0">(K4-L4)/L4</f>
        <v>4.4064702601287968E-2</v>
      </c>
    </row>
    <row r="5" spans="2:13" ht="15" customHeight="1" x14ac:dyDescent="0.25">
      <c r="B5" s="112" t="s">
        <v>41</v>
      </c>
      <c r="C5" s="24"/>
      <c r="D5" s="24"/>
      <c r="E5" s="24"/>
      <c r="F5" s="24"/>
      <c r="G5" s="24"/>
      <c r="H5" s="113">
        <v>406942</v>
      </c>
      <c r="I5" s="73">
        <v>371341</v>
      </c>
      <c r="J5" s="27">
        <f t="shared" ref="J5:J20" si="1">(H5-I5)/I5</f>
        <v>9.5871449691792718E-2</v>
      </c>
      <c r="K5" s="114">
        <v>102614</v>
      </c>
      <c r="L5" s="115">
        <v>96355</v>
      </c>
      <c r="M5" s="27">
        <f t="shared" si="0"/>
        <v>6.4957708473872652E-2</v>
      </c>
    </row>
    <row r="6" spans="2:13" ht="15" customHeight="1" x14ac:dyDescent="0.25">
      <c r="B6" s="112" t="s">
        <v>25</v>
      </c>
      <c r="C6" s="24"/>
      <c r="D6" s="24"/>
      <c r="E6" s="24"/>
      <c r="F6" s="24"/>
      <c r="G6" s="24"/>
      <c r="H6" s="113">
        <v>193368</v>
      </c>
      <c r="I6" s="73">
        <v>215752</v>
      </c>
      <c r="J6" s="27">
        <f t="shared" si="1"/>
        <v>-0.10374874856316511</v>
      </c>
      <c r="K6" s="114">
        <v>51663</v>
      </c>
      <c r="L6" s="115">
        <v>52203</v>
      </c>
      <c r="M6" s="27">
        <f t="shared" si="0"/>
        <v>-1.0344233090052295E-2</v>
      </c>
    </row>
    <row r="7" spans="2:13" ht="15" customHeight="1" x14ac:dyDescent="0.25">
      <c r="B7" s="116" t="s">
        <v>26</v>
      </c>
      <c r="C7" s="30"/>
      <c r="D7" s="30"/>
      <c r="E7" s="30"/>
      <c r="F7" s="30"/>
      <c r="G7" s="30"/>
      <c r="H7" s="117">
        <v>846</v>
      </c>
      <c r="I7" s="118">
        <v>642</v>
      </c>
      <c r="J7" s="27">
        <f t="shared" si="1"/>
        <v>0.31775700934579437</v>
      </c>
      <c r="K7" s="119">
        <v>272</v>
      </c>
      <c r="L7" s="120">
        <v>160</v>
      </c>
      <c r="M7" s="27">
        <f t="shared" si="0"/>
        <v>0.7</v>
      </c>
    </row>
    <row r="8" spans="2:13" ht="15" customHeight="1" x14ac:dyDescent="0.25">
      <c r="B8" s="121" t="s">
        <v>42</v>
      </c>
      <c r="C8" s="122"/>
      <c r="D8" s="122"/>
      <c r="E8" s="122"/>
      <c r="F8" s="122"/>
      <c r="G8" s="122"/>
      <c r="H8" s="123">
        <f>SUM(H4:H7)</f>
        <v>873057</v>
      </c>
      <c r="I8" s="124">
        <f>SUM(I4:I7)</f>
        <v>857834</v>
      </c>
      <c r="J8" s="125">
        <f t="shared" si="1"/>
        <v>1.774585759016313E-2</v>
      </c>
      <c r="K8" s="126">
        <f>SUM(K4:K7)</f>
        <v>257499</v>
      </c>
      <c r="L8" s="126">
        <f>SUM(L4:L7)</f>
        <v>247323</v>
      </c>
      <c r="M8" s="125">
        <f t="shared" si="0"/>
        <v>4.1144576121104788E-2</v>
      </c>
    </row>
    <row r="9" spans="2:13" ht="15" customHeight="1" x14ac:dyDescent="0.25">
      <c r="B9" s="127" t="s">
        <v>43</v>
      </c>
      <c r="C9" s="128"/>
      <c r="D9" s="128"/>
      <c r="E9" s="128"/>
      <c r="F9" s="128"/>
      <c r="G9" s="128"/>
      <c r="H9" s="129">
        <f>-20556-38277-153325</f>
        <v>-212158</v>
      </c>
      <c r="I9" s="130">
        <v>-236316</v>
      </c>
      <c r="J9" s="27">
        <f t="shared" si="1"/>
        <v>-0.10222752585521082</v>
      </c>
      <c r="K9" s="131">
        <v>-54302</v>
      </c>
      <c r="L9" s="132">
        <v>-54000</v>
      </c>
      <c r="M9" s="27">
        <f t="shared" si="0"/>
        <v>5.5925925925925926E-3</v>
      </c>
    </row>
    <row r="10" spans="2:13" ht="15" customHeight="1" x14ac:dyDescent="0.25">
      <c r="B10" s="121" t="s">
        <v>44</v>
      </c>
      <c r="C10" s="122"/>
      <c r="D10" s="122"/>
      <c r="E10" s="122"/>
      <c r="F10" s="122"/>
      <c r="G10" s="122"/>
      <c r="H10" s="123">
        <f>SUM(H8:H9)</f>
        <v>660899</v>
      </c>
      <c r="I10" s="124">
        <f>I8+I9</f>
        <v>621518</v>
      </c>
      <c r="J10" s="125">
        <f t="shared" si="1"/>
        <v>6.3362605749149661E-2</v>
      </c>
      <c r="K10" s="126">
        <f>+K8+K9</f>
        <v>203197</v>
      </c>
      <c r="L10" s="126">
        <f>+L8+L9</f>
        <v>193323</v>
      </c>
      <c r="M10" s="125">
        <f t="shared" si="0"/>
        <v>5.1075143671472097E-2</v>
      </c>
    </row>
    <row r="11" spans="2:13" ht="15" customHeight="1" x14ac:dyDescent="0.25">
      <c r="B11" s="106" t="s">
        <v>45</v>
      </c>
      <c r="C11" s="107"/>
      <c r="D11" s="107"/>
      <c r="E11" s="107"/>
      <c r="F11" s="107"/>
      <c r="G11" s="107"/>
      <c r="H11" s="108">
        <v>-106413</v>
      </c>
      <c r="I11" s="109">
        <v>-109064</v>
      </c>
      <c r="J11" s="27">
        <f t="shared" si="1"/>
        <v>-2.4306829017824397E-2</v>
      </c>
      <c r="K11" s="110">
        <v>-27062</v>
      </c>
      <c r="L11" s="111">
        <v>-28054</v>
      </c>
      <c r="M11" s="27">
        <f t="shared" si="0"/>
        <v>-3.5360376416910241E-2</v>
      </c>
    </row>
    <row r="12" spans="2:13" ht="15" customHeight="1" x14ac:dyDescent="0.25">
      <c r="B12" s="112" t="s">
        <v>46</v>
      </c>
      <c r="C12" s="24"/>
      <c r="D12" s="24"/>
      <c r="E12" s="24"/>
      <c r="F12" s="24"/>
      <c r="G12" s="24"/>
      <c r="H12" s="113">
        <f>-213969-18347-36520</f>
        <v>-268836</v>
      </c>
      <c r="I12" s="73">
        <v>-263049</v>
      </c>
      <c r="J12" s="27">
        <f t="shared" si="1"/>
        <v>2.1999703477298908E-2</v>
      </c>
      <c r="K12" s="114">
        <f>-56390-4046-10871</f>
        <v>-71307</v>
      </c>
      <c r="L12" s="115">
        <v>-71943</v>
      </c>
      <c r="M12" s="27">
        <f t="shared" si="0"/>
        <v>-8.8403319294441431E-3</v>
      </c>
    </row>
    <row r="13" spans="2:13" ht="15" customHeight="1" x14ac:dyDescent="0.25">
      <c r="B13" s="112" t="s">
        <v>47</v>
      </c>
      <c r="C13" s="24"/>
      <c r="D13" s="24"/>
      <c r="E13" s="24"/>
      <c r="F13" s="24"/>
      <c r="G13" s="24"/>
      <c r="H13" s="133">
        <v>-69405</v>
      </c>
      <c r="I13" s="134">
        <v>-74062</v>
      </c>
      <c r="J13" s="27">
        <f t="shared" si="1"/>
        <v>-6.2879749399152057E-2</v>
      </c>
      <c r="K13" s="135">
        <v>-19326</v>
      </c>
      <c r="L13" s="136">
        <v>-19649</v>
      </c>
      <c r="M13" s="27">
        <f t="shared" si="0"/>
        <v>-1.6438495597740344E-2</v>
      </c>
    </row>
    <row r="14" spans="2:13" ht="15" customHeight="1" x14ac:dyDescent="0.25">
      <c r="B14" s="116" t="s">
        <v>48</v>
      </c>
      <c r="C14" s="30"/>
      <c r="D14" s="30"/>
      <c r="E14" s="30"/>
      <c r="F14" s="30"/>
      <c r="G14" s="30"/>
      <c r="H14" s="117">
        <v>-5984</v>
      </c>
      <c r="I14" s="118">
        <v>-8433</v>
      </c>
      <c r="J14" s="27">
        <f t="shared" si="1"/>
        <v>-0.29040673544408868</v>
      </c>
      <c r="K14" s="119">
        <v>-1535</v>
      </c>
      <c r="L14" s="120">
        <v>-2283</v>
      </c>
      <c r="M14" s="27">
        <f t="shared" si="0"/>
        <v>-0.32763907139728426</v>
      </c>
    </row>
    <row r="15" spans="2:13" ht="15" customHeight="1" x14ac:dyDescent="0.25">
      <c r="B15" s="121" t="s">
        <v>49</v>
      </c>
      <c r="C15" s="122"/>
      <c r="D15" s="122"/>
      <c r="E15" s="122"/>
      <c r="F15" s="122"/>
      <c r="G15" s="122"/>
      <c r="H15" s="124">
        <f>H10+SUM(H11:H14)</f>
        <v>210261</v>
      </c>
      <c r="I15" s="124">
        <f>I10+SUM(I11:I14)</f>
        <v>166910</v>
      </c>
      <c r="J15" s="125">
        <f t="shared" si="1"/>
        <v>0.25972679887364447</v>
      </c>
      <c r="K15" s="126">
        <f>SUM(K10:K14)</f>
        <v>83967</v>
      </c>
      <c r="L15" s="126">
        <f>SUM(L10:L14)</f>
        <v>71394</v>
      </c>
      <c r="M15" s="125">
        <f t="shared" si="0"/>
        <v>0.17610723590217664</v>
      </c>
    </row>
    <row r="16" spans="2:13" ht="15" customHeight="1" x14ac:dyDescent="0.25">
      <c r="B16" s="106" t="s">
        <v>198</v>
      </c>
      <c r="C16" s="107"/>
      <c r="D16" s="107"/>
      <c r="E16" s="107"/>
      <c r="F16" s="107"/>
      <c r="G16" s="107"/>
      <c r="H16" s="108">
        <v>-6816</v>
      </c>
      <c r="I16" s="109">
        <v>665</v>
      </c>
      <c r="J16" s="27"/>
      <c r="K16" s="110">
        <v>-5408</v>
      </c>
      <c r="L16" s="111">
        <v>-2293</v>
      </c>
      <c r="M16" s="27">
        <f t="shared" si="0"/>
        <v>1.3584823375490624</v>
      </c>
    </row>
    <row r="17" spans="2:13" ht="15" customHeight="1" x14ac:dyDescent="0.25">
      <c r="B17" s="116" t="s">
        <v>50</v>
      </c>
      <c r="C17" s="30"/>
      <c r="D17" s="30"/>
      <c r="E17" s="30"/>
      <c r="F17" s="30"/>
      <c r="G17" s="30"/>
      <c r="H17" s="117">
        <v>-2927</v>
      </c>
      <c r="I17" s="118">
        <v>-9191</v>
      </c>
      <c r="J17" s="27">
        <f t="shared" si="1"/>
        <v>-0.68153628549668155</v>
      </c>
      <c r="K17" s="119">
        <v>-134</v>
      </c>
      <c r="L17" s="120">
        <v>-1589</v>
      </c>
      <c r="M17" s="27">
        <f t="shared" si="0"/>
        <v>-0.91567023285084959</v>
      </c>
    </row>
    <row r="18" spans="2:13" ht="15" customHeight="1" x14ac:dyDescent="0.25">
      <c r="B18" s="121" t="s">
        <v>51</v>
      </c>
      <c r="C18" s="122"/>
      <c r="D18" s="122"/>
      <c r="E18" s="122"/>
      <c r="F18" s="122"/>
      <c r="G18" s="122"/>
      <c r="H18" s="124">
        <f>H15+SUM(H16:H17)</f>
        <v>200518</v>
      </c>
      <c r="I18" s="124">
        <f>I15+SUM(I16:I17)</f>
        <v>158384</v>
      </c>
      <c r="J18" s="125">
        <f t="shared" si="1"/>
        <v>0.26602434589352458</v>
      </c>
      <c r="K18" s="126">
        <f>SUM(K15:K17)</f>
        <v>78425</v>
      </c>
      <c r="L18" s="126">
        <f>SUM(L15:L17)</f>
        <v>67512</v>
      </c>
      <c r="M18" s="125">
        <f t="shared" si="0"/>
        <v>0.16164533712525181</v>
      </c>
    </row>
    <row r="19" spans="2:13" ht="15" customHeight="1" x14ac:dyDescent="0.25">
      <c r="B19" s="127" t="s">
        <v>52</v>
      </c>
      <c r="C19" s="128"/>
      <c r="D19" s="128"/>
      <c r="E19" s="128"/>
      <c r="F19" s="128"/>
      <c r="G19" s="128"/>
      <c r="H19" s="129">
        <f>-65123+4210</f>
        <v>-60913</v>
      </c>
      <c r="I19" s="130">
        <v>-47833</v>
      </c>
      <c r="J19" s="27">
        <f t="shared" si="1"/>
        <v>0.27345138293646648</v>
      </c>
      <c r="K19" s="131">
        <v>-22256</v>
      </c>
      <c r="L19" s="132">
        <v>-20085</v>
      </c>
      <c r="M19" s="27">
        <f t="shared" si="0"/>
        <v>0.1080906148867314</v>
      </c>
    </row>
    <row r="20" spans="2:13" ht="15" customHeight="1" x14ac:dyDescent="0.25">
      <c r="B20" s="137" t="s">
        <v>29</v>
      </c>
      <c r="C20" s="138"/>
      <c r="D20" s="138"/>
      <c r="E20" s="138"/>
      <c r="F20" s="138"/>
      <c r="G20" s="138"/>
      <c r="H20" s="124">
        <f>H18+H19</f>
        <v>139605</v>
      </c>
      <c r="I20" s="124">
        <f>I18+I19</f>
        <v>110551</v>
      </c>
      <c r="J20" s="139">
        <f t="shared" si="1"/>
        <v>0.26281082939095984</v>
      </c>
      <c r="K20" s="126">
        <f>SUM(K18:K19)</f>
        <v>56169</v>
      </c>
      <c r="L20" s="126">
        <f>SUM(L18:L19)</f>
        <v>47427</v>
      </c>
      <c r="M20" s="139">
        <f t="shared" si="0"/>
        <v>0.18432538427478018</v>
      </c>
    </row>
    <row r="21" spans="2:13" ht="15" customHeight="1" x14ac:dyDescent="0.25">
      <c r="B21" s="89"/>
      <c r="C21" s="85"/>
      <c r="D21" s="85"/>
      <c r="E21" s="85"/>
      <c r="F21" s="85"/>
      <c r="G21" s="85"/>
      <c r="H21" s="140"/>
      <c r="I21" s="140"/>
      <c r="J21" s="141"/>
      <c r="K21" s="140"/>
      <c r="L21" s="140"/>
      <c r="M21" s="142"/>
    </row>
    <row r="22" spans="2:13" ht="15" customHeight="1" x14ac:dyDescent="0.25">
      <c r="B22" s="143" t="s">
        <v>53</v>
      </c>
      <c r="C22" s="144"/>
      <c r="D22" s="144"/>
      <c r="E22" s="144"/>
      <c r="F22" s="144"/>
      <c r="G22" s="144"/>
      <c r="H22" s="123">
        <f>+H20-H23</f>
        <v>139445</v>
      </c>
      <c r="I22" s="124">
        <v>110358</v>
      </c>
      <c r="J22" s="145">
        <f>(H22-I22)/I22</f>
        <v>0.26356947389405389</v>
      </c>
      <c r="K22" s="146">
        <f>+K20-K23</f>
        <v>56176</v>
      </c>
      <c r="L22" s="126">
        <v>47368</v>
      </c>
      <c r="M22" s="145">
        <f>(K22-L22)/L22</f>
        <v>0.18594831954061813</v>
      </c>
    </row>
    <row r="23" spans="2:13" ht="15" customHeight="1" x14ac:dyDescent="0.25">
      <c r="B23" s="147" t="s">
        <v>54</v>
      </c>
      <c r="C23" s="148"/>
      <c r="D23" s="148"/>
      <c r="E23" s="148"/>
      <c r="F23" s="148"/>
      <c r="G23" s="148"/>
      <c r="H23" s="123">
        <v>160</v>
      </c>
      <c r="I23" s="124">
        <f>I20-I22</f>
        <v>193</v>
      </c>
      <c r="J23" s="49"/>
      <c r="K23" s="149">
        <v>-7</v>
      </c>
      <c r="L23" s="126">
        <f>L20-L22</f>
        <v>59</v>
      </c>
      <c r="M23" s="49"/>
    </row>
    <row r="24" spans="2:13" ht="15" customHeight="1" x14ac:dyDescent="0.25">
      <c r="B24" s="150"/>
      <c r="C24" s="84"/>
      <c r="D24" s="84"/>
      <c r="E24" s="84"/>
      <c r="F24" s="84"/>
      <c r="G24" s="85"/>
      <c r="H24" s="151"/>
      <c r="I24" s="151"/>
      <c r="J24" s="141"/>
      <c r="K24" s="151"/>
      <c r="L24" s="151"/>
      <c r="M24" s="142"/>
    </row>
    <row r="25" spans="2:13" ht="15" customHeight="1" x14ac:dyDescent="0.25">
      <c r="B25" s="116" t="s">
        <v>55</v>
      </c>
      <c r="C25" s="30"/>
      <c r="D25" s="30"/>
      <c r="E25" s="30"/>
      <c r="F25" s="30"/>
      <c r="G25" s="30"/>
      <c r="H25" s="152">
        <f>H22/H27*1000</f>
        <v>1.7779768083839158</v>
      </c>
      <c r="I25" s="153">
        <f>I22/I27*1000</f>
        <v>1.3929087341731412</v>
      </c>
      <c r="J25" s="154">
        <f>(H25-I25)/I25</f>
        <v>0.27644889055804422</v>
      </c>
      <c r="K25" s="155">
        <f>K22/K27*1000</f>
        <v>0.72703350141798451</v>
      </c>
      <c r="L25" s="156">
        <f>L22/L27*1000</f>
        <v>0.60021152869395811</v>
      </c>
      <c r="M25" s="154">
        <f>(K25-L25)/L25+0.01</f>
        <v>0.22129546278457385</v>
      </c>
    </row>
    <row r="26" spans="2:13" ht="15" customHeight="1" x14ac:dyDescent="0.25">
      <c r="B26" s="127" t="s">
        <v>56</v>
      </c>
      <c r="C26" s="128"/>
      <c r="D26" s="128"/>
      <c r="E26" s="128"/>
      <c r="F26" s="128"/>
      <c r="G26" s="128"/>
      <c r="H26" s="152">
        <f>H22/H28*1000</f>
        <v>1.7761220819541412</v>
      </c>
      <c r="I26" s="153">
        <f>I22/I28*1000</f>
        <v>1.3929087341731412</v>
      </c>
      <c r="J26" s="154">
        <f>(H26-I26)/I26</f>
        <v>0.27511734141611455</v>
      </c>
      <c r="K26" s="157">
        <f>K22/K28*1000</f>
        <v>0.72591584299568168</v>
      </c>
      <c r="L26" s="156">
        <f>L22/L28*1000</f>
        <v>0.60021152869395811</v>
      </c>
      <c r="M26" s="154">
        <f>(K26-L26)/L26+0.01</f>
        <v>0.21943335522936774</v>
      </c>
    </row>
    <row r="27" spans="2:13" ht="15" customHeight="1" x14ac:dyDescent="0.25">
      <c r="B27" s="127" t="s">
        <v>57</v>
      </c>
      <c r="C27" s="128"/>
      <c r="D27" s="128"/>
      <c r="E27" s="128"/>
      <c r="F27" s="128"/>
      <c r="G27" s="128"/>
      <c r="H27" s="129">
        <v>78429032</v>
      </c>
      <c r="I27" s="130">
        <v>79228450</v>
      </c>
      <c r="J27" s="158" t="s">
        <v>7</v>
      </c>
      <c r="K27" s="131">
        <v>77267416</v>
      </c>
      <c r="L27" s="132">
        <v>78918844</v>
      </c>
      <c r="M27" s="158" t="s">
        <v>7</v>
      </c>
    </row>
    <row r="28" spans="2:13" ht="15" customHeight="1" x14ac:dyDescent="0.25">
      <c r="B28" s="127" t="s">
        <v>58</v>
      </c>
      <c r="C28" s="128"/>
      <c r="D28" s="128"/>
      <c r="E28" s="128"/>
      <c r="F28" s="128"/>
      <c r="G28" s="128"/>
      <c r="H28" s="129">
        <v>78510932</v>
      </c>
      <c r="I28" s="130">
        <v>79228450</v>
      </c>
      <c r="J28" s="158" t="s">
        <v>7</v>
      </c>
      <c r="K28" s="131">
        <v>77386381</v>
      </c>
      <c r="L28" s="132">
        <v>78918844</v>
      </c>
      <c r="M28" s="158" t="s">
        <v>7</v>
      </c>
    </row>
    <row r="29" spans="2:13" ht="15" customHeight="1" x14ac:dyDescent="0.25"/>
    <row r="30" spans="2:13" ht="15" customHeight="1" x14ac:dyDescent="0.25"/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&amp;CPage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N55"/>
  <sheetViews>
    <sheetView zoomScaleNormal="100" workbookViewId="0"/>
  </sheetViews>
  <sheetFormatPr defaultColWidth="9.109375" defaultRowHeight="13.8" x14ac:dyDescent="0.3"/>
  <cols>
    <col min="1" max="1" width="2.6640625" style="162" customWidth="1"/>
    <col min="2" max="6" width="11.44140625" style="162" customWidth="1"/>
    <col min="7" max="10" width="12" style="162" customWidth="1"/>
    <col min="11" max="11" width="9.109375" style="162"/>
    <col min="12" max="12" width="12.5546875" style="162" bestFit="1" customWidth="1"/>
    <col min="13" max="16384" width="9.109375" style="162"/>
  </cols>
  <sheetData>
    <row r="1" spans="2:14" ht="15" customHeight="1" x14ac:dyDescent="0.3">
      <c r="B1" s="225" t="s">
        <v>164</v>
      </c>
      <c r="C1" s="160"/>
      <c r="D1" s="160"/>
      <c r="E1" s="160"/>
      <c r="F1" s="160"/>
      <c r="G1" s="160"/>
      <c r="H1" s="160"/>
      <c r="I1" s="161"/>
      <c r="J1" s="161"/>
    </row>
    <row r="2" spans="2:14" ht="15" customHeight="1" x14ac:dyDescent="0.3">
      <c r="B2" s="397"/>
      <c r="C2" s="397"/>
      <c r="D2" s="160"/>
      <c r="E2" s="160"/>
      <c r="F2" s="160"/>
      <c r="G2" s="160"/>
      <c r="H2" s="160"/>
      <c r="I2" s="160"/>
      <c r="J2" s="160"/>
    </row>
    <row r="3" spans="2:14" ht="14.25" customHeight="1" x14ac:dyDescent="0.3">
      <c r="B3" s="13" t="s">
        <v>60</v>
      </c>
      <c r="C3" s="14"/>
      <c r="D3" s="14"/>
      <c r="E3" s="14"/>
      <c r="F3" s="14"/>
      <c r="G3" s="398" t="s">
        <v>176</v>
      </c>
      <c r="H3" s="399"/>
      <c r="I3" s="389" t="s">
        <v>34</v>
      </c>
      <c r="J3" s="390"/>
    </row>
    <row r="4" spans="2:14" ht="14.25" customHeight="1" x14ac:dyDescent="0.3">
      <c r="B4" s="163"/>
      <c r="C4" s="164"/>
      <c r="D4" s="164"/>
      <c r="E4" s="164"/>
      <c r="F4" s="164"/>
      <c r="G4" s="164"/>
      <c r="H4" s="165"/>
      <c r="I4" s="164"/>
      <c r="J4" s="166"/>
    </row>
    <row r="5" spans="2:14" s="170" customFormat="1" ht="14.25" customHeight="1" x14ac:dyDescent="0.3">
      <c r="B5" s="391" t="s">
        <v>61</v>
      </c>
      <c r="C5" s="392"/>
      <c r="D5" s="392"/>
      <c r="E5" s="392"/>
      <c r="F5" s="392"/>
      <c r="G5" s="167"/>
      <c r="H5" s="168"/>
      <c r="I5" s="167"/>
      <c r="J5" s="169"/>
    </row>
    <row r="6" spans="2:14" s="175" customFormat="1" ht="14.25" customHeight="1" x14ac:dyDescent="0.3">
      <c r="B6" s="395" t="s">
        <v>36</v>
      </c>
      <c r="C6" s="396"/>
      <c r="D6" s="396"/>
      <c r="E6" s="396"/>
      <c r="F6" s="396"/>
      <c r="G6" s="171"/>
      <c r="H6" s="172">
        <v>300567</v>
      </c>
      <c r="I6" s="173"/>
      <c r="J6" s="174">
        <v>318396</v>
      </c>
      <c r="L6" s="363"/>
      <c r="M6" s="363"/>
      <c r="N6" s="363"/>
    </row>
    <row r="7" spans="2:14" s="175" customFormat="1" ht="14.25" customHeight="1" x14ac:dyDescent="0.3">
      <c r="B7" s="385" t="s">
        <v>184</v>
      </c>
      <c r="C7" s="386"/>
      <c r="D7" s="386"/>
      <c r="E7" s="386"/>
      <c r="F7" s="386"/>
      <c r="G7" s="171"/>
      <c r="H7" s="172">
        <v>11840</v>
      </c>
      <c r="I7" s="173"/>
      <c r="J7" s="176">
        <v>57965</v>
      </c>
    </row>
    <row r="8" spans="2:14" s="175" customFormat="1" ht="14.25" customHeight="1" x14ac:dyDescent="0.3">
      <c r="B8" s="385" t="s">
        <v>185</v>
      </c>
      <c r="C8" s="386"/>
      <c r="D8" s="386"/>
      <c r="E8" s="386"/>
      <c r="F8" s="386"/>
      <c r="G8" s="171"/>
      <c r="H8" s="172">
        <v>232576</v>
      </c>
      <c r="I8" s="173"/>
      <c r="J8" s="176">
        <v>214357</v>
      </c>
    </row>
    <row r="9" spans="2:14" s="175" customFormat="1" ht="14.25" customHeight="1" x14ac:dyDescent="0.3">
      <c r="B9" s="385" t="s">
        <v>186</v>
      </c>
      <c r="C9" s="386"/>
      <c r="D9" s="386"/>
      <c r="E9" s="386"/>
      <c r="F9" s="386"/>
      <c r="G9" s="177"/>
      <c r="H9" s="172">
        <v>14794</v>
      </c>
      <c r="I9" s="178"/>
      <c r="J9" s="176">
        <v>14940</v>
      </c>
    </row>
    <row r="10" spans="2:14" s="175" customFormat="1" ht="14.25" customHeight="1" x14ac:dyDescent="0.3">
      <c r="B10" s="393" t="s">
        <v>187</v>
      </c>
      <c r="C10" s="394"/>
      <c r="D10" s="394"/>
      <c r="E10" s="394"/>
      <c r="F10" s="394"/>
      <c r="G10" s="179"/>
      <c r="H10" s="180">
        <v>24406</v>
      </c>
      <c r="I10" s="181"/>
      <c r="J10" s="182">
        <v>29726</v>
      </c>
    </row>
    <row r="11" spans="2:14" s="175" customFormat="1" ht="14.25" customHeight="1" x14ac:dyDescent="0.3">
      <c r="B11" s="183"/>
      <c r="C11" s="171"/>
      <c r="D11" s="171"/>
      <c r="E11" s="171"/>
      <c r="F11" s="171"/>
      <c r="G11" s="171"/>
      <c r="H11" s="184">
        <f>SUM(H6:H10)</f>
        <v>584183</v>
      </c>
      <c r="I11" s="173"/>
      <c r="J11" s="185">
        <f>SUM(J6:J10)</f>
        <v>635384</v>
      </c>
    </row>
    <row r="12" spans="2:14" s="170" customFormat="1" ht="14.25" customHeight="1" x14ac:dyDescent="0.3">
      <c r="B12" s="391" t="s">
        <v>62</v>
      </c>
      <c r="C12" s="392"/>
      <c r="D12" s="392"/>
      <c r="E12" s="392"/>
      <c r="F12" s="392"/>
      <c r="G12" s="167"/>
      <c r="H12" s="186"/>
      <c r="I12" s="186"/>
      <c r="J12" s="187"/>
    </row>
    <row r="13" spans="2:14" s="175" customFormat="1" ht="14.25" customHeight="1" x14ac:dyDescent="0.3">
      <c r="B13" s="385" t="s">
        <v>63</v>
      </c>
      <c r="C13" s="386"/>
      <c r="D13" s="386"/>
      <c r="E13" s="386"/>
      <c r="F13" s="386"/>
      <c r="G13" s="177"/>
      <c r="H13" s="172">
        <v>157438</v>
      </c>
      <c r="I13" s="178"/>
      <c r="J13" s="174">
        <v>180196</v>
      </c>
    </row>
    <row r="14" spans="2:14" s="175" customFormat="1" ht="14.25" customHeight="1" x14ac:dyDescent="0.3">
      <c r="B14" s="385" t="s">
        <v>64</v>
      </c>
      <c r="C14" s="386"/>
      <c r="D14" s="386"/>
      <c r="E14" s="386"/>
      <c r="F14" s="386"/>
      <c r="G14" s="171"/>
      <c r="H14" s="172">
        <v>899954</v>
      </c>
      <c r="I14" s="173"/>
      <c r="J14" s="176">
        <v>857279</v>
      </c>
    </row>
    <row r="15" spans="2:14" s="175" customFormat="1" ht="14.25" customHeight="1" x14ac:dyDescent="0.3">
      <c r="B15" s="385" t="s">
        <v>65</v>
      </c>
      <c r="C15" s="386"/>
      <c r="D15" s="386"/>
      <c r="E15" s="386"/>
      <c r="F15" s="386"/>
      <c r="G15" s="171"/>
      <c r="H15" s="172">
        <v>56221</v>
      </c>
      <c r="I15" s="173"/>
      <c r="J15" s="176">
        <v>61171</v>
      </c>
    </row>
    <row r="16" spans="2:14" s="175" customFormat="1" ht="14.25" customHeight="1" x14ac:dyDescent="0.3">
      <c r="B16" s="385" t="s">
        <v>184</v>
      </c>
      <c r="C16" s="386"/>
      <c r="D16" s="386"/>
      <c r="E16" s="386"/>
      <c r="F16" s="386"/>
      <c r="G16" s="171"/>
      <c r="H16" s="172">
        <v>24547</v>
      </c>
      <c r="I16" s="173"/>
      <c r="J16" s="176">
        <v>10106</v>
      </c>
    </row>
    <row r="17" spans="2:10" s="175" customFormat="1" ht="14.25" customHeight="1" x14ac:dyDescent="0.3">
      <c r="B17" s="385" t="s">
        <v>185</v>
      </c>
      <c r="C17" s="386"/>
      <c r="D17" s="386"/>
      <c r="E17" s="386"/>
      <c r="F17" s="386"/>
      <c r="G17" s="177"/>
      <c r="H17" s="172">
        <v>75090</v>
      </c>
      <c r="I17" s="178"/>
      <c r="J17" s="176">
        <v>89203</v>
      </c>
    </row>
    <row r="18" spans="2:10" s="175" customFormat="1" ht="14.25" customHeight="1" x14ac:dyDescent="0.3">
      <c r="B18" s="385" t="s">
        <v>186</v>
      </c>
      <c r="C18" s="386"/>
      <c r="D18" s="386"/>
      <c r="E18" s="386"/>
      <c r="F18" s="386"/>
      <c r="G18" s="171"/>
      <c r="H18" s="172">
        <v>82</v>
      </c>
      <c r="I18" s="173"/>
      <c r="J18" s="176">
        <v>237</v>
      </c>
    </row>
    <row r="19" spans="2:10" s="175" customFormat="1" ht="14.25" customHeight="1" x14ac:dyDescent="0.3">
      <c r="B19" s="385" t="s">
        <v>187</v>
      </c>
      <c r="C19" s="386"/>
      <c r="D19" s="386"/>
      <c r="E19" s="386"/>
      <c r="F19" s="386"/>
      <c r="G19" s="177"/>
      <c r="H19" s="172">
        <v>6215</v>
      </c>
      <c r="I19" s="178"/>
      <c r="J19" s="176">
        <v>4423</v>
      </c>
    </row>
    <row r="20" spans="2:10" s="175" customFormat="1" ht="14.25" customHeight="1" x14ac:dyDescent="0.3">
      <c r="B20" s="393" t="s">
        <v>188</v>
      </c>
      <c r="C20" s="394"/>
      <c r="D20" s="394"/>
      <c r="E20" s="394"/>
      <c r="F20" s="394"/>
      <c r="G20" s="188"/>
      <c r="H20" s="172">
        <v>11039</v>
      </c>
      <c r="I20" s="181"/>
      <c r="J20" s="182">
        <v>10937</v>
      </c>
    </row>
    <row r="21" spans="2:10" s="175" customFormat="1" ht="14.25" customHeight="1" x14ac:dyDescent="0.3">
      <c r="B21" s="189"/>
      <c r="C21" s="177"/>
      <c r="D21" s="177"/>
      <c r="E21" s="177"/>
      <c r="F21" s="177"/>
      <c r="G21" s="190"/>
      <c r="H21" s="191">
        <f>SUM(H13:H20)</f>
        <v>1230586</v>
      </c>
      <c r="I21" s="178"/>
      <c r="J21" s="185">
        <f>SUM(J13:J20)</f>
        <v>1213552</v>
      </c>
    </row>
    <row r="22" spans="2:10" ht="14.25" customHeight="1" x14ac:dyDescent="0.3">
      <c r="B22" s="192"/>
      <c r="C22" s="193"/>
      <c r="D22" s="193"/>
      <c r="E22" s="193"/>
      <c r="F22" s="193"/>
      <c r="G22" s="193"/>
      <c r="H22" s="194"/>
      <c r="I22" s="194"/>
      <c r="J22" s="195"/>
    </row>
    <row r="23" spans="2:10" s="175" customFormat="1" ht="14.25" customHeight="1" thickBot="1" x14ac:dyDescent="0.35">
      <c r="B23" s="387" t="s">
        <v>66</v>
      </c>
      <c r="C23" s="388"/>
      <c r="D23" s="388"/>
      <c r="E23" s="388"/>
      <c r="F23" s="388"/>
      <c r="G23" s="196"/>
      <c r="H23" s="197">
        <f>H11+H21</f>
        <v>1814769</v>
      </c>
      <c r="I23" s="198"/>
      <c r="J23" s="199">
        <f>J21+J11</f>
        <v>1848936</v>
      </c>
    </row>
    <row r="24" spans="2:10" ht="14.25" customHeight="1" thickTop="1" x14ac:dyDescent="0.3">
      <c r="B24" s="200"/>
      <c r="C24" s="201"/>
      <c r="D24" s="201"/>
      <c r="E24" s="201"/>
      <c r="F24" s="201"/>
      <c r="G24" s="201"/>
      <c r="H24" s="202"/>
      <c r="I24" s="201"/>
      <c r="J24" s="203"/>
    </row>
    <row r="25" spans="2:10" ht="14.25" customHeight="1" x14ac:dyDescent="0.3">
      <c r="B25" s="13" t="s">
        <v>67</v>
      </c>
      <c r="C25" s="14"/>
      <c r="D25" s="14"/>
      <c r="E25" s="14"/>
      <c r="F25" s="14"/>
      <c r="G25" s="389" t="s">
        <v>176</v>
      </c>
      <c r="H25" s="390"/>
      <c r="I25" s="389" t="s">
        <v>34</v>
      </c>
      <c r="J25" s="390"/>
    </row>
    <row r="26" spans="2:10" ht="14.25" customHeight="1" x14ac:dyDescent="0.3">
      <c r="B26" s="13"/>
      <c r="C26" s="14"/>
      <c r="D26" s="14"/>
      <c r="E26" s="14"/>
      <c r="F26" s="14"/>
      <c r="G26" s="204"/>
      <c r="H26" s="204"/>
      <c r="I26" s="204"/>
      <c r="J26" s="205"/>
    </row>
    <row r="27" spans="2:10" ht="14.25" customHeight="1" x14ac:dyDescent="0.3">
      <c r="B27" s="387" t="s">
        <v>68</v>
      </c>
      <c r="C27" s="388"/>
      <c r="D27" s="388"/>
      <c r="E27" s="388"/>
      <c r="F27" s="388"/>
      <c r="G27" s="201"/>
      <c r="H27" s="206"/>
      <c r="I27" s="201"/>
      <c r="J27" s="203"/>
    </row>
    <row r="28" spans="2:10" s="175" customFormat="1" ht="14.25" customHeight="1" x14ac:dyDescent="0.3">
      <c r="B28" s="395" t="s">
        <v>69</v>
      </c>
      <c r="C28" s="396"/>
      <c r="D28" s="396"/>
      <c r="E28" s="396"/>
      <c r="F28" s="396"/>
      <c r="G28" s="396"/>
      <c r="H28" s="207">
        <v>113033</v>
      </c>
      <c r="I28" s="208"/>
      <c r="J28" s="174">
        <v>110767</v>
      </c>
    </row>
    <row r="29" spans="2:10" s="175" customFormat="1" ht="14.25" customHeight="1" x14ac:dyDescent="0.3">
      <c r="B29" s="385" t="s">
        <v>189</v>
      </c>
      <c r="C29" s="386"/>
      <c r="D29" s="386"/>
      <c r="E29" s="386"/>
      <c r="F29" s="386"/>
      <c r="G29" s="171"/>
      <c r="H29" s="172">
        <v>33016</v>
      </c>
      <c r="I29" s="173"/>
      <c r="J29" s="176">
        <v>36884</v>
      </c>
    </row>
    <row r="30" spans="2:10" s="175" customFormat="1" ht="14.25" customHeight="1" x14ac:dyDescent="0.3">
      <c r="B30" s="385" t="s">
        <v>191</v>
      </c>
      <c r="C30" s="386"/>
      <c r="D30" s="386"/>
      <c r="E30" s="386"/>
      <c r="F30" s="386"/>
      <c r="G30" s="171"/>
      <c r="H30" s="172">
        <v>112932</v>
      </c>
      <c r="I30" s="173"/>
      <c r="J30" s="176">
        <v>104884</v>
      </c>
    </row>
    <row r="31" spans="2:10" s="175" customFormat="1" ht="14.25" customHeight="1" x14ac:dyDescent="0.3">
      <c r="B31" s="385" t="s">
        <v>70</v>
      </c>
      <c r="C31" s="386"/>
      <c r="D31" s="386"/>
      <c r="E31" s="386"/>
      <c r="F31" s="386"/>
      <c r="G31" s="171"/>
      <c r="H31" s="172">
        <v>28329</v>
      </c>
      <c r="I31" s="173"/>
      <c r="J31" s="176">
        <v>18609</v>
      </c>
    </row>
    <row r="32" spans="2:10" s="175" customFormat="1" ht="14.25" customHeight="1" x14ac:dyDescent="0.3">
      <c r="B32" s="385" t="s">
        <v>71</v>
      </c>
      <c r="C32" s="386"/>
      <c r="D32" s="386"/>
      <c r="E32" s="386"/>
      <c r="F32" s="386"/>
      <c r="G32" s="171"/>
      <c r="H32" s="172">
        <v>28626</v>
      </c>
      <c r="I32" s="173"/>
      <c r="J32" s="176">
        <v>32605</v>
      </c>
    </row>
    <row r="33" spans="2:10" s="175" customFormat="1" ht="14.25" customHeight="1" x14ac:dyDescent="0.3">
      <c r="B33" s="393" t="s">
        <v>190</v>
      </c>
      <c r="C33" s="394"/>
      <c r="D33" s="394"/>
      <c r="E33" s="394"/>
      <c r="F33" s="394"/>
      <c r="G33" s="179"/>
      <c r="H33" s="180">
        <v>123606</v>
      </c>
      <c r="I33" s="181"/>
      <c r="J33" s="182">
        <v>111348</v>
      </c>
    </row>
    <row r="34" spans="2:10" s="175" customFormat="1" ht="14.25" customHeight="1" x14ac:dyDescent="0.3">
      <c r="B34" s="183"/>
      <c r="C34" s="171"/>
      <c r="D34" s="171"/>
      <c r="E34" s="171"/>
      <c r="F34" s="171"/>
      <c r="G34" s="171"/>
      <c r="H34" s="184">
        <f>SUM(H28:H33)</f>
        <v>439542</v>
      </c>
      <c r="I34" s="178"/>
      <c r="J34" s="185">
        <f>SUM(J28:J33)</f>
        <v>415097</v>
      </c>
    </row>
    <row r="35" spans="2:10" ht="14.25" customHeight="1" x14ac:dyDescent="0.3">
      <c r="B35" s="387" t="s">
        <v>72</v>
      </c>
      <c r="C35" s="388"/>
      <c r="D35" s="388"/>
      <c r="E35" s="388"/>
      <c r="F35" s="388"/>
      <c r="G35" s="201"/>
      <c r="H35" s="209"/>
      <c r="I35" s="209"/>
      <c r="J35" s="210"/>
    </row>
    <row r="36" spans="2:10" s="175" customFormat="1" ht="14.25" customHeight="1" x14ac:dyDescent="0.3">
      <c r="B36" s="395" t="s">
        <v>69</v>
      </c>
      <c r="C36" s="396"/>
      <c r="D36" s="396"/>
      <c r="E36" s="396"/>
      <c r="F36" s="396"/>
      <c r="G36" s="211"/>
      <c r="H36" s="212">
        <v>213247</v>
      </c>
      <c r="I36" s="208"/>
      <c r="J36" s="174">
        <v>340499</v>
      </c>
    </row>
    <row r="37" spans="2:10" s="175" customFormat="1" ht="14.25" customHeight="1" x14ac:dyDescent="0.3">
      <c r="B37" s="385" t="s">
        <v>189</v>
      </c>
      <c r="C37" s="386"/>
      <c r="D37" s="386"/>
      <c r="E37" s="386"/>
      <c r="F37" s="386"/>
      <c r="G37" s="171"/>
      <c r="H37" s="172">
        <v>90</v>
      </c>
      <c r="I37" s="173"/>
      <c r="J37" s="176">
        <v>0</v>
      </c>
    </row>
    <row r="38" spans="2:10" s="175" customFormat="1" ht="14.25" customHeight="1" x14ac:dyDescent="0.3">
      <c r="B38" s="385" t="s">
        <v>191</v>
      </c>
      <c r="C38" s="386"/>
      <c r="D38" s="386"/>
      <c r="E38" s="386"/>
      <c r="F38" s="386"/>
      <c r="G38" s="171"/>
      <c r="H38" s="172">
        <v>1719</v>
      </c>
      <c r="I38" s="173"/>
      <c r="J38" s="176">
        <v>6369</v>
      </c>
    </row>
    <row r="39" spans="2:10" s="175" customFormat="1" ht="14.25" customHeight="1" x14ac:dyDescent="0.3">
      <c r="B39" s="385" t="s">
        <v>70</v>
      </c>
      <c r="C39" s="386"/>
      <c r="D39" s="386"/>
      <c r="E39" s="386"/>
      <c r="F39" s="386"/>
      <c r="G39" s="171"/>
      <c r="H39" s="172">
        <v>17897</v>
      </c>
      <c r="I39" s="173"/>
      <c r="J39" s="176">
        <v>13156</v>
      </c>
    </row>
    <row r="40" spans="2:10" s="175" customFormat="1" ht="14.25" customHeight="1" x14ac:dyDescent="0.3">
      <c r="B40" s="385" t="s">
        <v>192</v>
      </c>
      <c r="C40" s="386"/>
      <c r="D40" s="386"/>
      <c r="E40" s="386"/>
      <c r="F40" s="386"/>
      <c r="G40" s="171"/>
      <c r="H40" s="172">
        <v>35644</v>
      </c>
      <c r="I40" s="173"/>
      <c r="J40" s="176">
        <v>42566</v>
      </c>
    </row>
    <row r="41" spans="2:10" s="175" customFormat="1" ht="14.25" customHeight="1" x14ac:dyDescent="0.3">
      <c r="B41" s="385" t="s">
        <v>193</v>
      </c>
      <c r="C41" s="386"/>
      <c r="D41" s="386"/>
      <c r="E41" s="386"/>
      <c r="F41" s="386"/>
      <c r="G41" s="171"/>
      <c r="H41" s="172">
        <v>16723</v>
      </c>
      <c r="I41" s="173"/>
      <c r="J41" s="176">
        <v>17131</v>
      </c>
    </row>
    <row r="42" spans="2:10" s="175" customFormat="1" ht="14.25" customHeight="1" x14ac:dyDescent="0.3">
      <c r="B42" s="393" t="s">
        <v>190</v>
      </c>
      <c r="C42" s="394"/>
      <c r="D42" s="394"/>
      <c r="E42" s="394"/>
      <c r="F42" s="394"/>
      <c r="G42" s="179"/>
      <c r="H42" s="180">
        <v>178</v>
      </c>
      <c r="I42" s="181"/>
      <c r="J42" s="182">
        <v>738</v>
      </c>
    </row>
    <row r="43" spans="2:10" s="175" customFormat="1" ht="14.25" customHeight="1" x14ac:dyDescent="0.3">
      <c r="B43" s="183"/>
      <c r="C43" s="171"/>
      <c r="D43" s="171"/>
      <c r="E43" s="171"/>
      <c r="F43" s="171"/>
      <c r="G43" s="171"/>
      <c r="H43" s="184">
        <f>SUM(H36:H42)</f>
        <v>285498</v>
      </c>
      <c r="I43" s="178"/>
      <c r="J43" s="185">
        <f>SUM(J36:J42)</f>
        <v>420459</v>
      </c>
    </row>
    <row r="44" spans="2:10" ht="14.25" customHeight="1" x14ac:dyDescent="0.3">
      <c r="B44" s="387" t="s">
        <v>73</v>
      </c>
      <c r="C44" s="388"/>
      <c r="D44" s="388"/>
      <c r="E44" s="388"/>
      <c r="F44" s="388"/>
      <c r="G44" s="201"/>
      <c r="H44" s="209"/>
      <c r="I44" s="209"/>
      <c r="J44" s="210"/>
    </row>
    <row r="45" spans="2:10" s="175" customFormat="1" ht="14.25" customHeight="1" x14ac:dyDescent="0.3">
      <c r="B45" s="395" t="s">
        <v>74</v>
      </c>
      <c r="C45" s="396"/>
      <c r="D45" s="396"/>
      <c r="E45" s="396"/>
      <c r="F45" s="396"/>
      <c r="G45" s="213"/>
      <c r="H45" s="207">
        <v>79000</v>
      </c>
      <c r="I45" s="208"/>
      <c r="J45" s="174">
        <v>86944</v>
      </c>
    </row>
    <row r="46" spans="2:10" s="175" customFormat="1" ht="14.25" customHeight="1" x14ac:dyDescent="0.3">
      <c r="B46" s="385" t="s">
        <v>75</v>
      </c>
      <c r="C46" s="386"/>
      <c r="D46" s="386"/>
      <c r="E46" s="386"/>
      <c r="F46" s="386"/>
      <c r="G46" s="214"/>
      <c r="H46" s="172">
        <v>40504</v>
      </c>
      <c r="I46" s="173"/>
      <c r="J46" s="176">
        <v>43195</v>
      </c>
    </row>
    <row r="47" spans="2:10" s="175" customFormat="1" ht="14.25" customHeight="1" x14ac:dyDescent="0.3">
      <c r="B47" s="385" t="s">
        <v>76</v>
      </c>
      <c r="C47" s="386"/>
      <c r="D47" s="386"/>
      <c r="E47" s="386"/>
      <c r="F47" s="386"/>
      <c r="G47" s="171"/>
      <c r="H47" s="172">
        <v>1047145</v>
      </c>
      <c r="I47" s="173"/>
      <c r="J47" s="176">
        <v>1161411</v>
      </c>
    </row>
    <row r="48" spans="2:10" s="175" customFormat="1" ht="14.25" customHeight="1" x14ac:dyDescent="0.3">
      <c r="B48" s="385" t="s">
        <v>77</v>
      </c>
      <c r="C48" s="386"/>
      <c r="D48" s="386"/>
      <c r="E48" s="386"/>
      <c r="F48" s="386"/>
      <c r="G48" s="171"/>
      <c r="H48" s="172">
        <v>-5808</v>
      </c>
      <c r="I48" s="173"/>
      <c r="J48" s="176">
        <v>-54535</v>
      </c>
    </row>
    <row r="49" spans="2:10" s="175" customFormat="1" ht="14.25" customHeight="1" x14ac:dyDescent="0.3">
      <c r="B49" s="385" t="s">
        <v>78</v>
      </c>
      <c r="C49" s="386"/>
      <c r="D49" s="386"/>
      <c r="E49" s="386"/>
      <c r="F49" s="386"/>
      <c r="G49" s="171"/>
      <c r="H49" s="172">
        <v>-71596</v>
      </c>
      <c r="I49" s="173"/>
      <c r="J49" s="176">
        <v>-224466</v>
      </c>
    </row>
    <row r="50" spans="2:10" s="175" customFormat="1" ht="14.25" customHeight="1" x14ac:dyDescent="0.3">
      <c r="B50" s="387" t="s">
        <v>79</v>
      </c>
      <c r="C50" s="388"/>
      <c r="D50" s="388"/>
      <c r="E50" s="388"/>
      <c r="F50" s="388"/>
      <c r="G50" s="177"/>
      <c r="H50" s="184">
        <f>SUM(H45:H49)</f>
        <v>1089245</v>
      </c>
      <c r="I50" s="178"/>
      <c r="J50" s="185">
        <f>SUM(J45:J49)</f>
        <v>1012549</v>
      </c>
    </row>
    <row r="51" spans="2:10" s="175" customFormat="1" ht="14.25" customHeight="1" x14ac:dyDescent="0.3">
      <c r="B51" s="391" t="s">
        <v>80</v>
      </c>
      <c r="C51" s="392"/>
      <c r="D51" s="392"/>
      <c r="E51" s="392"/>
      <c r="F51" s="392"/>
      <c r="G51" s="215"/>
      <c r="H51" s="216">
        <v>484</v>
      </c>
      <c r="I51" s="217"/>
      <c r="J51" s="218">
        <v>831</v>
      </c>
    </row>
    <row r="52" spans="2:10" s="175" customFormat="1" ht="14.25" customHeight="1" x14ac:dyDescent="0.3">
      <c r="B52" s="219"/>
      <c r="C52" s="220"/>
      <c r="D52" s="220"/>
      <c r="E52" s="220"/>
      <c r="F52" s="220"/>
      <c r="G52" s="220"/>
      <c r="H52" s="191">
        <f>H50+H51</f>
        <v>1089729</v>
      </c>
      <c r="I52" s="178"/>
      <c r="J52" s="185">
        <f>J50+J51</f>
        <v>1013380</v>
      </c>
    </row>
    <row r="53" spans="2:10" ht="14.25" customHeight="1" x14ac:dyDescent="0.3">
      <c r="B53" s="221"/>
      <c r="C53" s="222"/>
      <c r="D53" s="222"/>
      <c r="E53" s="222"/>
      <c r="F53" s="222"/>
      <c r="G53" s="222"/>
      <c r="H53" s="209"/>
      <c r="I53" s="209"/>
      <c r="J53" s="210"/>
    </row>
    <row r="54" spans="2:10" s="175" customFormat="1" ht="14.25" customHeight="1" thickBot="1" x14ac:dyDescent="0.35">
      <c r="B54" s="387" t="s">
        <v>81</v>
      </c>
      <c r="C54" s="388"/>
      <c r="D54" s="388"/>
      <c r="E54" s="388"/>
      <c r="F54" s="388"/>
      <c r="G54" s="196"/>
      <c r="H54" s="197">
        <f>H34+H43+H52</f>
        <v>1814769</v>
      </c>
      <c r="I54" s="198"/>
      <c r="J54" s="199">
        <f>J34+J43+J52</f>
        <v>1848936</v>
      </c>
    </row>
    <row r="55" spans="2:10" ht="14.25" customHeight="1" thickTop="1" x14ac:dyDescent="0.3">
      <c r="B55" s="223"/>
      <c r="C55" s="224"/>
      <c r="D55" s="224"/>
      <c r="E55" s="224"/>
      <c r="F55" s="224"/>
      <c r="G55" s="224"/>
      <c r="H55" s="186"/>
      <c r="I55" s="186"/>
      <c r="J55" s="187"/>
    </row>
  </sheetData>
  <mergeCells count="45">
    <mergeCell ref="B5:F5"/>
    <mergeCell ref="B2:C2"/>
    <mergeCell ref="G3:H3"/>
    <mergeCell ref="I3:J3"/>
    <mergeCell ref="I25:J25"/>
    <mergeCell ref="B18:F18"/>
    <mergeCell ref="B19:F19"/>
    <mergeCell ref="B20:F20"/>
    <mergeCell ref="B6:F6"/>
    <mergeCell ref="B7:F7"/>
    <mergeCell ref="B8:F8"/>
    <mergeCell ref="B9:F9"/>
    <mergeCell ref="B14:F14"/>
    <mergeCell ref="B15:F15"/>
    <mergeCell ref="B16:F16"/>
    <mergeCell ref="B17:F17"/>
    <mergeCell ref="B10:F10"/>
    <mergeCell ref="B12:F12"/>
    <mergeCell ref="B13:F13"/>
    <mergeCell ref="B27:F27"/>
    <mergeCell ref="B40:F40"/>
    <mergeCell ref="B32:F32"/>
    <mergeCell ref="B33:F33"/>
    <mergeCell ref="B36:F36"/>
    <mergeCell ref="B37:F37"/>
    <mergeCell ref="B38:F38"/>
    <mergeCell ref="B39:F39"/>
    <mergeCell ref="B35:F35"/>
    <mergeCell ref="B28:G28"/>
    <mergeCell ref="B47:F47"/>
    <mergeCell ref="B23:F23"/>
    <mergeCell ref="B54:F54"/>
    <mergeCell ref="G25:H25"/>
    <mergeCell ref="B41:F41"/>
    <mergeCell ref="B46:F46"/>
    <mergeCell ref="B51:F51"/>
    <mergeCell ref="B48:F48"/>
    <mergeCell ref="B49:F49"/>
    <mergeCell ref="B50:F50"/>
    <mergeCell ref="B29:F29"/>
    <mergeCell ref="B30:F30"/>
    <mergeCell ref="B31:F31"/>
    <mergeCell ref="B42:F42"/>
    <mergeCell ref="B44:F44"/>
    <mergeCell ref="B45:F45"/>
  </mergeCells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Header>&amp;C&amp;G</oddHeader>
    <oddFooter>&amp;CPage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M43"/>
  <sheetViews>
    <sheetView workbookViewId="0"/>
  </sheetViews>
  <sheetFormatPr defaultColWidth="9.109375" defaultRowHeight="13.8" x14ac:dyDescent="0.25"/>
  <cols>
    <col min="1" max="1" width="2.6640625" style="3" customWidth="1"/>
    <col min="2" max="9" width="10.33203125" style="3" customWidth="1"/>
    <col min="10" max="13" width="12.88671875" style="3" customWidth="1"/>
    <col min="14" max="16384" width="9.109375" style="3"/>
  </cols>
  <sheetData>
    <row r="1" spans="2:13" ht="15" customHeight="1" x14ac:dyDescent="0.25">
      <c r="B1" s="377" t="s">
        <v>169</v>
      </c>
      <c r="C1" s="377"/>
      <c r="D1" s="377"/>
      <c r="E1" s="377"/>
      <c r="F1" s="377"/>
      <c r="G1" s="377"/>
      <c r="H1" s="377"/>
      <c r="I1" s="377"/>
      <c r="J1" s="377"/>
      <c r="K1" s="377"/>
    </row>
    <row r="2" spans="2:13" ht="15" customHeight="1" x14ac:dyDescent="0.25">
      <c r="B2" s="400"/>
      <c r="C2" s="400"/>
      <c r="D2" s="12"/>
      <c r="E2" s="12"/>
      <c r="F2" s="12"/>
      <c r="G2" s="12"/>
      <c r="H2" s="12"/>
      <c r="I2" s="12"/>
      <c r="J2" s="12"/>
      <c r="K2" s="12"/>
    </row>
    <row r="3" spans="2:13" ht="25.5" customHeight="1" x14ac:dyDescent="0.25">
      <c r="B3" s="226" t="s">
        <v>59</v>
      </c>
      <c r="C3" s="14"/>
      <c r="D3" s="14"/>
      <c r="E3" s="14"/>
      <c r="F3" s="14"/>
      <c r="G3" s="227"/>
      <c r="H3" s="227"/>
      <c r="I3" s="14"/>
      <c r="J3" s="228" t="s">
        <v>177</v>
      </c>
      <c r="K3" s="228" t="s">
        <v>178</v>
      </c>
      <c r="L3" s="229" t="s">
        <v>174</v>
      </c>
      <c r="M3" s="230" t="s">
        <v>175</v>
      </c>
    </row>
    <row r="4" spans="2:13" s="162" customFormat="1" ht="12" customHeight="1" x14ac:dyDescent="0.3">
      <c r="B4" s="395" t="s">
        <v>29</v>
      </c>
      <c r="C4" s="396"/>
      <c r="D4" s="396"/>
      <c r="E4" s="396"/>
      <c r="F4" s="396"/>
      <c r="G4" s="396"/>
      <c r="H4" s="396"/>
      <c r="I4" s="396"/>
      <c r="J4" s="231">
        <v>139605</v>
      </c>
      <c r="K4" s="174">
        <v>110551</v>
      </c>
      <c r="L4" s="174">
        <v>56169</v>
      </c>
      <c r="M4" s="174">
        <v>47427</v>
      </c>
    </row>
    <row r="5" spans="2:13" s="162" customFormat="1" ht="12" customHeight="1" x14ac:dyDescent="0.3">
      <c r="B5" s="385" t="s">
        <v>52</v>
      </c>
      <c r="C5" s="386"/>
      <c r="D5" s="386"/>
      <c r="E5" s="386"/>
      <c r="F5" s="386"/>
      <c r="G5" s="386"/>
      <c r="H5" s="386"/>
      <c r="I5" s="386"/>
      <c r="J5" s="232">
        <v>60913</v>
      </c>
      <c r="K5" s="176">
        <v>47833</v>
      </c>
      <c r="L5" s="176">
        <v>22256</v>
      </c>
      <c r="M5" s="176">
        <v>20085</v>
      </c>
    </row>
    <row r="6" spans="2:13" s="162" customFormat="1" ht="12" customHeight="1" x14ac:dyDescent="0.3">
      <c r="B6" s="385" t="s">
        <v>82</v>
      </c>
      <c r="C6" s="386"/>
      <c r="D6" s="386"/>
      <c r="E6" s="386"/>
      <c r="F6" s="386"/>
      <c r="G6" s="386"/>
      <c r="H6" s="386"/>
      <c r="I6" s="386"/>
      <c r="J6" s="232">
        <v>2927</v>
      </c>
      <c r="K6" s="176">
        <v>9191</v>
      </c>
      <c r="L6" s="176">
        <v>134</v>
      </c>
      <c r="M6" s="176">
        <v>1589</v>
      </c>
    </row>
    <row r="7" spans="2:13" s="162" customFormat="1" ht="12" customHeight="1" x14ac:dyDescent="0.3">
      <c r="B7" s="385" t="s">
        <v>83</v>
      </c>
      <c r="C7" s="386"/>
      <c r="D7" s="386"/>
      <c r="E7" s="386"/>
      <c r="F7" s="386"/>
      <c r="G7" s="386"/>
      <c r="H7" s="386"/>
      <c r="I7" s="386"/>
      <c r="J7" s="232">
        <v>49432</v>
      </c>
      <c r="K7" s="176">
        <v>50840</v>
      </c>
      <c r="L7" s="176">
        <v>11475</v>
      </c>
      <c r="M7" s="176">
        <v>11215</v>
      </c>
    </row>
    <row r="8" spans="2:13" s="162" customFormat="1" ht="12" customHeight="1" x14ac:dyDescent="0.3">
      <c r="B8" s="385" t="s">
        <v>84</v>
      </c>
      <c r="C8" s="386"/>
      <c r="D8" s="386"/>
      <c r="E8" s="386"/>
      <c r="F8" s="386"/>
      <c r="G8" s="386"/>
      <c r="H8" s="386"/>
      <c r="I8" s="386"/>
      <c r="J8" s="232">
        <v>-7385</v>
      </c>
      <c r="K8" s="176">
        <v>12784</v>
      </c>
      <c r="L8" s="176">
        <v>1505</v>
      </c>
      <c r="M8" s="176">
        <v>1564</v>
      </c>
    </row>
    <row r="9" spans="2:13" s="160" customFormat="1" ht="12" customHeight="1" x14ac:dyDescent="0.3">
      <c r="B9" s="401" t="s">
        <v>85</v>
      </c>
      <c r="C9" s="402"/>
      <c r="D9" s="402"/>
      <c r="E9" s="402"/>
      <c r="F9" s="402"/>
      <c r="G9" s="402"/>
      <c r="H9" s="402"/>
      <c r="I9" s="402"/>
      <c r="J9" s="233">
        <f>SUM(J4:J8)</f>
        <v>245492</v>
      </c>
      <c r="K9" s="234">
        <f>SUM(K4:K8)</f>
        <v>231199</v>
      </c>
      <c r="L9" s="234">
        <f>SUM(L4:L8)</f>
        <v>91539</v>
      </c>
      <c r="M9" s="234">
        <f>SUM(M4:M8)</f>
        <v>81880</v>
      </c>
    </row>
    <row r="10" spans="2:13" s="162" customFormat="1" ht="12" customHeight="1" x14ac:dyDescent="0.3">
      <c r="B10" s="385" t="s">
        <v>199</v>
      </c>
      <c r="C10" s="386"/>
      <c r="D10" s="386"/>
      <c r="E10" s="386"/>
      <c r="F10" s="386"/>
      <c r="G10" s="386"/>
      <c r="H10" s="386"/>
      <c r="I10" s="386"/>
      <c r="J10" s="231">
        <v>-16473</v>
      </c>
      <c r="K10" s="174">
        <v>15926</v>
      </c>
      <c r="L10" s="174">
        <v>-50604</v>
      </c>
      <c r="M10" s="174">
        <v>-22209</v>
      </c>
    </row>
    <row r="11" spans="2:13" s="162" customFormat="1" ht="12" customHeight="1" x14ac:dyDescent="0.3">
      <c r="B11" s="385" t="s">
        <v>86</v>
      </c>
      <c r="C11" s="386"/>
      <c r="D11" s="386"/>
      <c r="E11" s="386"/>
      <c r="F11" s="386"/>
      <c r="G11" s="386"/>
      <c r="H11" s="386"/>
      <c r="I11" s="386"/>
      <c r="J11" s="232">
        <v>21812</v>
      </c>
      <c r="K11" s="176">
        <v>-19441</v>
      </c>
      <c r="L11" s="176">
        <v>19800</v>
      </c>
      <c r="M11" s="176">
        <v>-3128</v>
      </c>
    </row>
    <row r="12" spans="2:13" s="162" customFormat="1" ht="12" customHeight="1" x14ac:dyDescent="0.3">
      <c r="B12" s="385" t="s">
        <v>87</v>
      </c>
      <c r="C12" s="386"/>
      <c r="D12" s="386"/>
      <c r="E12" s="386"/>
      <c r="F12" s="386"/>
      <c r="G12" s="386"/>
      <c r="H12" s="386"/>
      <c r="I12" s="386"/>
      <c r="J12" s="232">
        <v>-61872</v>
      </c>
      <c r="K12" s="176">
        <v>-73474</v>
      </c>
      <c r="L12" s="176">
        <v>-15971</v>
      </c>
      <c r="M12" s="176">
        <v>-7676</v>
      </c>
    </row>
    <row r="13" spans="2:13" s="162" customFormat="1" ht="12" customHeight="1" x14ac:dyDescent="0.3">
      <c r="B13" s="385" t="s">
        <v>88</v>
      </c>
      <c r="C13" s="386"/>
      <c r="D13" s="386"/>
      <c r="E13" s="386"/>
      <c r="F13" s="386"/>
      <c r="G13" s="386"/>
      <c r="H13" s="386"/>
      <c r="I13" s="386"/>
      <c r="J13" s="232">
        <v>-12209</v>
      </c>
      <c r="K13" s="176">
        <v>-19222</v>
      </c>
      <c r="L13" s="176">
        <v>-2014</v>
      </c>
      <c r="M13" s="176">
        <v>-2246</v>
      </c>
    </row>
    <row r="14" spans="2:13" s="162" customFormat="1" ht="12" customHeight="1" x14ac:dyDescent="0.3">
      <c r="B14" s="385" t="s">
        <v>89</v>
      </c>
      <c r="C14" s="386"/>
      <c r="D14" s="386"/>
      <c r="E14" s="386"/>
      <c r="F14" s="386"/>
      <c r="G14" s="386"/>
      <c r="H14" s="386"/>
      <c r="I14" s="386"/>
      <c r="J14" s="232">
        <v>8687</v>
      </c>
      <c r="K14" s="176">
        <v>8212</v>
      </c>
      <c r="L14" s="176">
        <v>2743</v>
      </c>
      <c r="M14" s="176">
        <v>2041</v>
      </c>
    </row>
    <row r="15" spans="2:13" s="160" customFormat="1" ht="12" customHeight="1" x14ac:dyDescent="0.3">
      <c r="B15" s="401" t="s">
        <v>90</v>
      </c>
      <c r="C15" s="402"/>
      <c r="D15" s="402"/>
      <c r="E15" s="402"/>
      <c r="F15" s="402"/>
      <c r="G15" s="402"/>
      <c r="H15" s="402"/>
      <c r="I15" s="402"/>
      <c r="J15" s="235">
        <f>SUM(J9:J14)</f>
        <v>185437</v>
      </c>
      <c r="K15" s="234">
        <f>SUM(K9:K14)</f>
        <v>143200</v>
      </c>
      <c r="L15" s="236">
        <f>SUM(L9:L14)</f>
        <v>45493</v>
      </c>
      <c r="M15" s="234">
        <f>SUM(M9:M14)</f>
        <v>48662</v>
      </c>
    </row>
    <row r="16" spans="2:13" s="162" customFormat="1" ht="12" customHeight="1" x14ac:dyDescent="0.3">
      <c r="B16" s="385" t="s">
        <v>91</v>
      </c>
      <c r="C16" s="386"/>
      <c r="D16" s="386"/>
      <c r="E16" s="386"/>
      <c r="F16" s="386"/>
      <c r="G16" s="386"/>
      <c r="H16" s="386"/>
      <c r="I16" s="386"/>
      <c r="J16" s="231">
        <v>2388</v>
      </c>
      <c r="K16" s="174">
        <v>2866</v>
      </c>
      <c r="L16" s="174">
        <v>0</v>
      </c>
      <c r="M16" s="174">
        <v>448</v>
      </c>
    </row>
    <row r="17" spans="2:13" s="162" customFormat="1" ht="12" customHeight="1" x14ac:dyDescent="0.3">
      <c r="B17" s="385" t="s">
        <v>92</v>
      </c>
      <c r="C17" s="386"/>
      <c r="D17" s="386"/>
      <c r="E17" s="386"/>
      <c r="F17" s="386"/>
      <c r="G17" s="386"/>
      <c r="H17" s="386"/>
      <c r="I17" s="386"/>
      <c r="J17" s="232">
        <v>-12149</v>
      </c>
      <c r="K17" s="176">
        <v>-10868</v>
      </c>
      <c r="L17" s="176">
        <v>-2975</v>
      </c>
      <c r="M17" s="176">
        <v>-2259</v>
      </c>
    </row>
    <row r="18" spans="2:13" s="162" customFormat="1" ht="12" customHeight="1" x14ac:dyDescent="0.3">
      <c r="B18" s="385" t="s">
        <v>200</v>
      </c>
      <c r="C18" s="386"/>
      <c r="D18" s="386"/>
      <c r="E18" s="386"/>
      <c r="F18" s="386"/>
      <c r="G18" s="386"/>
      <c r="H18" s="386"/>
      <c r="I18" s="386"/>
      <c r="J18" s="232">
        <v>283</v>
      </c>
      <c r="K18" s="176">
        <v>1107</v>
      </c>
      <c r="L18" s="176">
        <v>139</v>
      </c>
      <c r="M18" s="176">
        <v>930</v>
      </c>
    </row>
    <row r="19" spans="2:13" s="162" customFormat="1" ht="12" customHeight="1" x14ac:dyDescent="0.3">
      <c r="B19" s="385" t="s">
        <v>201</v>
      </c>
      <c r="C19" s="386"/>
      <c r="D19" s="386"/>
      <c r="E19" s="386"/>
      <c r="F19" s="386"/>
      <c r="G19" s="386"/>
      <c r="H19" s="386"/>
      <c r="I19" s="386"/>
      <c r="J19" s="232">
        <v>-5977</v>
      </c>
      <c r="K19" s="176">
        <v>-3567</v>
      </c>
      <c r="L19" s="176">
        <v>-1474</v>
      </c>
      <c r="M19" s="176">
        <v>-798</v>
      </c>
    </row>
    <row r="20" spans="2:13" s="162" customFormat="1" ht="12" customHeight="1" x14ac:dyDescent="0.3">
      <c r="B20" s="385" t="s">
        <v>202</v>
      </c>
      <c r="C20" s="386"/>
      <c r="D20" s="386"/>
      <c r="E20" s="386"/>
      <c r="F20" s="386"/>
      <c r="G20" s="386"/>
      <c r="H20" s="386"/>
      <c r="I20" s="386"/>
      <c r="J20" s="232">
        <v>49232</v>
      </c>
      <c r="K20" s="176">
        <v>31000</v>
      </c>
      <c r="L20" s="176">
        <v>0</v>
      </c>
      <c r="M20" s="176">
        <v>5000</v>
      </c>
    </row>
    <row r="21" spans="2:13" s="162" customFormat="1" ht="12" customHeight="1" x14ac:dyDescent="0.3">
      <c r="B21" s="385" t="s">
        <v>203</v>
      </c>
      <c r="C21" s="386"/>
      <c r="D21" s="386"/>
      <c r="E21" s="386"/>
      <c r="F21" s="386"/>
      <c r="G21" s="386"/>
      <c r="H21" s="386"/>
      <c r="I21" s="386"/>
      <c r="J21" s="232">
        <v>-5</v>
      </c>
      <c r="K21" s="176">
        <v>-29797</v>
      </c>
      <c r="L21" s="176">
        <v>-2</v>
      </c>
      <c r="M21" s="176">
        <v>-264</v>
      </c>
    </row>
    <row r="22" spans="2:13" s="162" customFormat="1" ht="12" customHeight="1" x14ac:dyDescent="0.3">
      <c r="B22" s="385" t="s">
        <v>93</v>
      </c>
      <c r="C22" s="386"/>
      <c r="D22" s="386"/>
      <c r="E22" s="386"/>
      <c r="F22" s="386"/>
      <c r="G22" s="386"/>
      <c r="H22" s="386"/>
      <c r="I22" s="386"/>
      <c r="J22" s="232">
        <v>-1000</v>
      </c>
      <c r="K22" s="176">
        <v>18057</v>
      </c>
      <c r="L22" s="176">
        <v>0</v>
      </c>
      <c r="M22" s="176">
        <v>0</v>
      </c>
    </row>
    <row r="23" spans="2:13" s="162" customFormat="1" ht="12" customHeight="1" x14ac:dyDescent="0.3">
      <c r="B23" s="385" t="s">
        <v>94</v>
      </c>
      <c r="C23" s="386"/>
      <c r="D23" s="386"/>
      <c r="E23" s="386"/>
      <c r="F23" s="386"/>
      <c r="G23" s="386"/>
      <c r="H23" s="386"/>
      <c r="I23" s="386"/>
      <c r="J23" s="232">
        <v>0</v>
      </c>
      <c r="K23" s="176">
        <v>-3667</v>
      </c>
      <c r="L23" s="176">
        <v>0</v>
      </c>
      <c r="M23" s="176">
        <v>0</v>
      </c>
    </row>
    <row r="24" spans="2:13" s="160" customFormat="1" ht="12" customHeight="1" x14ac:dyDescent="0.3">
      <c r="B24" s="401" t="s">
        <v>95</v>
      </c>
      <c r="C24" s="402"/>
      <c r="D24" s="402"/>
      <c r="E24" s="402"/>
      <c r="F24" s="402"/>
      <c r="G24" s="402"/>
      <c r="H24" s="402"/>
      <c r="I24" s="402"/>
      <c r="J24" s="233">
        <f>SUM(J16:J23)</f>
        <v>32772</v>
      </c>
      <c r="K24" s="234">
        <f>SUM(K16:K23)</f>
        <v>5131</v>
      </c>
      <c r="L24" s="234">
        <f>SUM(L16:L23)</f>
        <v>-4312</v>
      </c>
      <c r="M24" s="234">
        <f>SUM(M16:M23)</f>
        <v>3057</v>
      </c>
    </row>
    <row r="25" spans="2:13" s="162" customFormat="1" ht="12" customHeight="1" x14ac:dyDescent="0.3">
      <c r="B25" s="385" t="s">
        <v>96</v>
      </c>
      <c r="C25" s="386"/>
      <c r="D25" s="386"/>
      <c r="E25" s="386"/>
      <c r="F25" s="386"/>
      <c r="G25" s="386"/>
      <c r="H25" s="386"/>
      <c r="I25" s="386"/>
      <c r="J25" s="232">
        <f>-69986-35</f>
        <v>-70021</v>
      </c>
      <c r="K25" s="176">
        <v>-70582</v>
      </c>
      <c r="L25" s="176">
        <f>-53695-35</f>
        <v>-53730</v>
      </c>
      <c r="M25" s="176">
        <v>0</v>
      </c>
    </row>
    <row r="26" spans="2:13" s="162" customFormat="1" ht="12" customHeight="1" x14ac:dyDescent="0.3">
      <c r="B26" s="385" t="s">
        <v>150</v>
      </c>
      <c r="C26" s="386"/>
      <c r="D26" s="386"/>
      <c r="E26" s="386"/>
      <c r="F26" s="386"/>
      <c r="G26" s="386"/>
      <c r="H26" s="386"/>
      <c r="I26" s="403"/>
      <c r="J26" s="232">
        <f>35+610</f>
        <v>645</v>
      </c>
      <c r="K26" s="176">
        <v>1423</v>
      </c>
      <c r="L26" s="176">
        <f>35+144</f>
        <v>179</v>
      </c>
      <c r="M26" s="176">
        <v>0</v>
      </c>
    </row>
    <row r="27" spans="2:13" s="162" customFormat="1" ht="12" customHeight="1" x14ac:dyDescent="0.3">
      <c r="B27" s="385" t="s">
        <v>97</v>
      </c>
      <c r="C27" s="386"/>
      <c r="D27" s="386"/>
      <c r="E27" s="386"/>
      <c r="F27" s="386"/>
      <c r="G27" s="386"/>
      <c r="H27" s="386"/>
      <c r="I27" s="386"/>
      <c r="J27" s="232">
        <v>-39633</v>
      </c>
      <c r="K27" s="176">
        <v>-36430</v>
      </c>
      <c r="L27" s="176">
        <v>0</v>
      </c>
      <c r="M27" s="176">
        <v>0</v>
      </c>
    </row>
    <row r="28" spans="2:13" s="162" customFormat="1" ht="12" customHeight="1" x14ac:dyDescent="0.3">
      <c r="B28" s="385" t="s">
        <v>98</v>
      </c>
      <c r="C28" s="386"/>
      <c r="D28" s="386"/>
      <c r="E28" s="386"/>
      <c r="F28" s="386"/>
      <c r="G28" s="386"/>
      <c r="H28" s="386"/>
      <c r="I28" s="386"/>
      <c r="J28" s="232">
        <v>8705</v>
      </c>
      <c r="K28" s="176">
        <v>35278</v>
      </c>
      <c r="L28" s="176">
        <v>2535</v>
      </c>
      <c r="M28" s="176">
        <v>278</v>
      </c>
    </row>
    <row r="29" spans="2:13" s="162" customFormat="1" ht="12" customHeight="1" x14ac:dyDescent="0.3">
      <c r="B29" s="385" t="s">
        <v>99</v>
      </c>
      <c r="C29" s="386"/>
      <c r="D29" s="386"/>
      <c r="E29" s="386"/>
      <c r="F29" s="386"/>
      <c r="G29" s="386"/>
      <c r="H29" s="386"/>
      <c r="I29" s="386"/>
      <c r="J29" s="232">
        <v>-138687</v>
      </c>
      <c r="K29" s="176">
        <v>-212588</v>
      </c>
      <c r="L29" s="176">
        <v>-32486</v>
      </c>
      <c r="M29" s="176">
        <v>-22</v>
      </c>
    </row>
    <row r="30" spans="2:13" s="162" customFormat="1" ht="12" customHeight="1" x14ac:dyDescent="0.3">
      <c r="B30" s="393" t="s">
        <v>152</v>
      </c>
      <c r="C30" s="394"/>
      <c r="D30" s="394"/>
      <c r="E30" s="394"/>
      <c r="F30" s="394"/>
      <c r="G30" s="394"/>
      <c r="H30" s="394"/>
      <c r="I30" s="404"/>
      <c r="J30" s="232">
        <v>-500</v>
      </c>
      <c r="K30" s="176">
        <v>0</v>
      </c>
      <c r="L30" s="176">
        <v>0</v>
      </c>
      <c r="M30" s="176">
        <v>0</v>
      </c>
    </row>
    <row r="31" spans="2:13" s="160" customFormat="1" ht="12" customHeight="1" x14ac:dyDescent="0.3">
      <c r="B31" s="401" t="s">
        <v>100</v>
      </c>
      <c r="C31" s="402"/>
      <c r="D31" s="402"/>
      <c r="E31" s="402"/>
      <c r="F31" s="402"/>
      <c r="G31" s="402"/>
      <c r="H31" s="402"/>
      <c r="I31" s="402"/>
      <c r="J31" s="233">
        <f>SUM(J25:J30)</f>
        <v>-239491</v>
      </c>
      <c r="K31" s="233">
        <f>SUM(K25:K30)</f>
        <v>-282899</v>
      </c>
      <c r="L31" s="233">
        <f>SUM(L25:L30)</f>
        <v>-83502</v>
      </c>
      <c r="M31" s="233">
        <f>SUM(M25:M30)</f>
        <v>256</v>
      </c>
    </row>
    <row r="32" spans="2:13" s="162" customFormat="1" ht="12" customHeight="1" x14ac:dyDescent="0.3">
      <c r="B32" s="385" t="s">
        <v>101</v>
      </c>
      <c r="C32" s="386"/>
      <c r="D32" s="386"/>
      <c r="E32" s="386"/>
      <c r="F32" s="386"/>
      <c r="G32" s="386"/>
      <c r="H32" s="386"/>
      <c r="I32" s="386"/>
      <c r="J32" s="232">
        <f>J15+J24+J31</f>
        <v>-21282</v>
      </c>
      <c r="K32" s="232">
        <f>K15+K24+K31</f>
        <v>-134568</v>
      </c>
      <c r="L32" s="232">
        <f>L15+L24+L31</f>
        <v>-42321</v>
      </c>
      <c r="M32" s="232">
        <f>M15+M24+M31</f>
        <v>51975</v>
      </c>
    </row>
    <row r="33" spans="2:13" s="162" customFormat="1" ht="12" customHeight="1" x14ac:dyDescent="0.3">
      <c r="B33" s="408" t="s">
        <v>102</v>
      </c>
      <c r="C33" s="386"/>
      <c r="D33" s="386"/>
      <c r="E33" s="386"/>
      <c r="F33" s="386"/>
      <c r="G33" s="386"/>
      <c r="H33" s="386"/>
      <c r="I33" s="386"/>
      <c r="J33" s="232">
        <v>3453</v>
      </c>
      <c r="K33" s="176">
        <v>2980</v>
      </c>
      <c r="L33" s="176">
        <v>5933</v>
      </c>
      <c r="M33" s="176">
        <v>-8612</v>
      </c>
    </row>
    <row r="34" spans="2:13" s="160" customFormat="1" ht="12" customHeight="1" x14ac:dyDescent="0.3">
      <c r="B34" s="401" t="s">
        <v>103</v>
      </c>
      <c r="C34" s="402"/>
      <c r="D34" s="402"/>
      <c r="E34" s="402"/>
      <c r="F34" s="402"/>
      <c r="G34" s="402"/>
      <c r="H34" s="402"/>
      <c r="I34" s="402"/>
      <c r="J34" s="233">
        <f>SUM(J32:J33)</f>
        <v>-17829</v>
      </c>
      <c r="K34" s="234">
        <f>SUM(K32:K33)</f>
        <v>-131588</v>
      </c>
      <c r="L34" s="234">
        <f>SUM(L32:L33)</f>
        <v>-36388</v>
      </c>
      <c r="M34" s="234">
        <f>SUM(M32:M33)</f>
        <v>43363</v>
      </c>
    </row>
    <row r="35" spans="2:13" s="162" customFormat="1" ht="12" customHeight="1" x14ac:dyDescent="0.3">
      <c r="B35" s="385" t="s">
        <v>104</v>
      </c>
      <c r="C35" s="386"/>
      <c r="D35" s="386"/>
      <c r="E35" s="386"/>
      <c r="F35" s="386"/>
      <c r="G35" s="386"/>
      <c r="H35" s="386"/>
      <c r="I35" s="386"/>
      <c r="J35" s="232">
        <v>318396</v>
      </c>
      <c r="K35" s="176">
        <v>449984</v>
      </c>
      <c r="L35" s="176">
        <v>336955</v>
      </c>
      <c r="M35" s="176">
        <v>275033</v>
      </c>
    </row>
    <row r="36" spans="2:13" s="160" customFormat="1" ht="12" customHeight="1" thickBot="1" x14ac:dyDescent="0.35">
      <c r="B36" s="387" t="s">
        <v>105</v>
      </c>
      <c r="C36" s="388"/>
      <c r="D36" s="388"/>
      <c r="E36" s="388"/>
      <c r="F36" s="388"/>
      <c r="G36" s="388"/>
      <c r="H36" s="388"/>
      <c r="I36" s="388"/>
      <c r="J36" s="237">
        <f>SUM(J34:J35)</f>
        <v>300567</v>
      </c>
      <c r="K36" s="185">
        <f>SUM(K34:K35)</f>
        <v>318396</v>
      </c>
      <c r="L36" s="185">
        <f>SUM(L34:L35)</f>
        <v>300567</v>
      </c>
      <c r="M36" s="185">
        <f>SUM(M34:M35)</f>
        <v>318396</v>
      </c>
    </row>
    <row r="37" spans="2:13" s="239" customFormat="1" ht="12" customHeight="1" thickTop="1" thickBot="1" x14ac:dyDescent="0.35">
      <c r="B37" s="405" t="s">
        <v>4</v>
      </c>
      <c r="C37" s="406"/>
      <c r="D37" s="406"/>
      <c r="E37" s="406"/>
      <c r="F37" s="406"/>
      <c r="G37" s="406"/>
      <c r="H37" s="406"/>
      <c r="I37" s="407"/>
      <c r="J37" s="238">
        <f>J15+J16+J17+J18+J19</f>
        <v>169982</v>
      </c>
      <c r="K37" s="238">
        <f>K15+K16+K17+K18+K19</f>
        <v>132738</v>
      </c>
      <c r="L37" s="238">
        <f>L15+L16+L17+L18+L19</f>
        <v>41183</v>
      </c>
      <c r="M37" s="238">
        <f>M15+M16+M17+M18+M19</f>
        <v>46983</v>
      </c>
    </row>
    <row r="38" spans="2:13" s="162" customFormat="1" ht="15" customHeight="1" thickTop="1" x14ac:dyDescent="0.3"/>
    <row r="39" spans="2:13" s="162" customFormat="1" ht="15" customHeight="1" x14ac:dyDescent="0.3"/>
    <row r="40" spans="2:13" s="162" customFormat="1" ht="15" customHeight="1" x14ac:dyDescent="0.3"/>
    <row r="41" spans="2:13" ht="15" customHeight="1" x14ac:dyDescent="0.25"/>
    <row r="42" spans="2:13" ht="15" customHeight="1" x14ac:dyDescent="0.25"/>
    <row r="43" spans="2:13" ht="15" customHeight="1" x14ac:dyDescent="0.25">
      <c r="I43" s="2"/>
    </row>
  </sheetData>
  <mergeCells count="36">
    <mergeCell ref="B26:I26"/>
    <mergeCell ref="B30:I30"/>
    <mergeCell ref="B37:I37"/>
    <mergeCell ref="B32:I32"/>
    <mergeCell ref="B33:I33"/>
    <mergeCell ref="B34:I34"/>
    <mergeCell ref="B35:I35"/>
    <mergeCell ref="B36:I36"/>
    <mergeCell ref="B27:I27"/>
    <mergeCell ref="B28:I28"/>
    <mergeCell ref="B29:I29"/>
    <mergeCell ref="B31:I31"/>
    <mergeCell ref="B24:I24"/>
    <mergeCell ref="B25:I25"/>
    <mergeCell ref="B14:I14"/>
    <mergeCell ref="B15:I15"/>
    <mergeCell ref="B16:I16"/>
    <mergeCell ref="B18:I18"/>
    <mergeCell ref="B19:I19"/>
    <mergeCell ref="B22:I22"/>
    <mergeCell ref="B20:I20"/>
    <mergeCell ref="B21:I21"/>
    <mergeCell ref="B2:C2"/>
    <mergeCell ref="B5:I5"/>
    <mergeCell ref="B17:I17"/>
    <mergeCell ref="B1:K1"/>
    <mergeCell ref="B23:I23"/>
    <mergeCell ref="B4:I4"/>
    <mergeCell ref="B13:I13"/>
    <mergeCell ref="B7:I7"/>
    <mergeCell ref="B8:I8"/>
    <mergeCell ref="B9:I9"/>
    <mergeCell ref="B10:I10"/>
    <mergeCell ref="B11:I11"/>
    <mergeCell ref="B12:I12"/>
    <mergeCell ref="B6:I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&amp;CPage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U48"/>
  <sheetViews>
    <sheetView workbookViewId="0"/>
  </sheetViews>
  <sheetFormatPr defaultColWidth="9.109375" defaultRowHeight="13.8" x14ac:dyDescent="0.25"/>
  <cols>
    <col min="1" max="1" width="2.6640625" style="3" customWidth="1"/>
    <col min="2" max="14" width="10.33203125" style="3" customWidth="1"/>
    <col min="15" max="16384" width="9.109375" style="3"/>
  </cols>
  <sheetData>
    <row r="1" spans="2:21" ht="15" customHeight="1" x14ac:dyDescent="0.25">
      <c r="B1" s="271" t="s">
        <v>168</v>
      </c>
      <c r="C1" s="240"/>
      <c r="D1" s="240"/>
      <c r="E1" s="240"/>
      <c r="F1" s="240"/>
      <c r="G1" s="240"/>
      <c r="H1" s="240"/>
      <c r="I1" s="240"/>
      <c r="J1" s="241"/>
      <c r="K1" s="241"/>
      <c r="L1" s="241"/>
      <c r="M1" s="241"/>
      <c r="N1" s="241"/>
    </row>
    <row r="2" spans="2:21" ht="15" customHeight="1" x14ac:dyDescent="0.25">
      <c r="B2" s="400"/>
      <c r="C2" s="400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21" ht="14.25" customHeight="1" x14ac:dyDescent="0.25">
      <c r="B3" s="411" t="s">
        <v>59</v>
      </c>
      <c r="C3" s="412"/>
      <c r="D3" s="242"/>
      <c r="E3" s="418" t="s">
        <v>1</v>
      </c>
      <c r="F3" s="423"/>
      <c r="G3" s="433" t="s">
        <v>18</v>
      </c>
      <c r="H3" s="434"/>
      <c r="I3" s="418" t="s">
        <v>2</v>
      </c>
      <c r="J3" s="423"/>
      <c r="K3" s="418" t="s">
        <v>106</v>
      </c>
      <c r="L3" s="423"/>
      <c r="M3" s="418" t="s">
        <v>17</v>
      </c>
      <c r="N3" s="419"/>
      <c r="O3" s="8"/>
      <c r="P3" s="8"/>
      <c r="Q3" s="8"/>
      <c r="R3" s="8"/>
      <c r="S3" s="8"/>
      <c r="T3" s="8"/>
      <c r="U3" s="8"/>
    </row>
    <row r="4" spans="2:21" ht="14.25" customHeight="1" x14ac:dyDescent="0.25">
      <c r="B4" s="200"/>
      <c r="C4" s="201"/>
      <c r="D4" s="201"/>
      <c r="E4" s="200"/>
      <c r="F4" s="243"/>
      <c r="G4" s="435"/>
      <c r="H4" s="436"/>
      <c r="I4" s="244"/>
      <c r="J4" s="245"/>
      <c r="K4" s="244"/>
      <c r="L4" s="245"/>
      <c r="M4" s="244"/>
      <c r="N4" s="246"/>
      <c r="O4" s="8"/>
      <c r="P4" s="8"/>
      <c r="Q4" s="8"/>
      <c r="R4" s="8"/>
      <c r="S4" s="8"/>
      <c r="T4" s="8"/>
      <c r="U4" s="8"/>
    </row>
    <row r="5" spans="2:21" ht="14.25" customHeight="1" x14ac:dyDescent="0.25">
      <c r="B5" s="247"/>
      <c r="C5" s="201"/>
      <c r="D5" s="201"/>
      <c r="E5" s="409" t="s">
        <v>179</v>
      </c>
      <c r="F5" s="410"/>
      <c r="G5" s="409" t="s">
        <v>179</v>
      </c>
      <c r="H5" s="410"/>
      <c r="I5" s="409" t="s">
        <v>179</v>
      </c>
      <c r="J5" s="410"/>
      <c r="K5" s="409" t="s">
        <v>179</v>
      </c>
      <c r="L5" s="410"/>
      <c r="M5" s="409" t="s">
        <v>179</v>
      </c>
      <c r="N5" s="410"/>
      <c r="O5" s="8"/>
      <c r="P5" s="8"/>
      <c r="Q5" s="8"/>
      <c r="R5" s="8"/>
      <c r="S5" s="8"/>
      <c r="T5" s="8"/>
      <c r="U5" s="8"/>
    </row>
    <row r="6" spans="2:21" ht="14.25" customHeight="1" x14ac:dyDescent="0.25">
      <c r="B6" s="248"/>
      <c r="C6" s="167"/>
      <c r="D6" s="167"/>
      <c r="E6" s="249">
        <v>2015</v>
      </c>
      <c r="F6" s="249">
        <v>2014</v>
      </c>
      <c r="G6" s="249">
        <v>2015</v>
      </c>
      <c r="H6" s="249">
        <v>2014</v>
      </c>
      <c r="I6" s="249">
        <v>2015</v>
      </c>
      <c r="J6" s="249">
        <v>2014</v>
      </c>
      <c r="K6" s="249">
        <v>2015</v>
      </c>
      <c r="L6" s="249">
        <v>2014</v>
      </c>
      <c r="M6" s="249">
        <v>2015</v>
      </c>
      <c r="N6" s="249">
        <v>2014</v>
      </c>
      <c r="O6" s="8"/>
      <c r="P6" s="8"/>
      <c r="Q6" s="8"/>
      <c r="R6" s="8"/>
      <c r="S6" s="8"/>
      <c r="T6" s="8"/>
      <c r="U6" s="8"/>
    </row>
    <row r="7" spans="2:21" ht="14.25" customHeight="1" x14ac:dyDescent="0.25">
      <c r="B7" s="420" t="s">
        <v>40</v>
      </c>
      <c r="C7" s="417"/>
      <c r="D7" s="417"/>
      <c r="E7" s="250">
        <v>88393</v>
      </c>
      <c r="F7" s="250">
        <v>91040</v>
      </c>
      <c r="G7" s="250">
        <v>183508</v>
      </c>
      <c r="H7" s="250">
        <v>178867</v>
      </c>
      <c r="I7" s="250">
        <v>0</v>
      </c>
      <c r="J7" s="250">
        <v>192</v>
      </c>
      <c r="K7" s="250"/>
      <c r="L7" s="250"/>
      <c r="M7" s="250">
        <f>E7+G7+I7+K7</f>
        <v>271901</v>
      </c>
      <c r="N7" s="251">
        <f>F7+H7+J7+L7</f>
        <v>270099</v>
      </c>
      <c r="O7" s="8"/>
      <c r="P7" s="8"/>
      <c r="Q7" s="8"/>
      <c r="R7" s="8"/>
      <c r="S7" s="8"/>
      <c r="T7" s="8"/>
      <c r="U7" s="8"/>
    </row>
    <row r="8" spans="2:21" ht="14.25" customHeight="1" x14ac:dyDescent="0.25">
      <c r="B8" s="420" t="s">
        <v>41</v>
      </c>
      <c r="C8" s="417"/>
      <c r="D8" s="417"/>
      <c r="E8" s="250">
        <v>158939</v>
      </c>
      <c r="F8" s="250">
        <v>153681</v>
      </c>
      <c r="G8" s="250">
        <v>248003</v>
      </c>
      <c r="H8" s="250">
        <v>215654</v>
      </c>
      <c r="I8" s="250">
        <v>0</v>
      </c>
      <c r="J8" s="250">
        <v>2006</v>
      </c>
      <c r="K8" s="250"/>
      <c r="L8" s="250"/>
      <c r="M8" s="250">
        <f>E8+G8+I8+K8</f>
        <v>406942</v>
      </c>
      <c r="N8" s="251">
        <f>F8+H8+J8+L8</f>
        <v>371341</v>
      </c>
      <c r="O8" s="8"/>
      <c r="P8" s="8"/>
      <c r="Q8" s="8"/>
      <c r="R8" s="8"/>
      <c r="S8" s="8"/>
      <c r="T8" s="8"/>
      <c r="U8" s="8"/>
    </row>
    <row r="9" spans="2:21" ht="14.25" customHeight="1" x14ac:dyDescent="0.25">
      <c r="B9" s="421" t="s">
        <v>24</v>
      </c>
      <c r="C9" s="422"/>
      <c r="D9" s="422"/>
      <c r="E9" s="252">
        <f t="shared" ref="E9:J9" si="0">SUM(E7:E8)</f>
        <v>247332</v>
      </c>
      <c r="F9" s="252">
        <f t="shared" si="0"/>
        <v>244721</v>
      </c>
      <c r="G9" s="252">
        <f t="shared" si="0"/>
        <v>431511</v>
      </c>
      <c r="H9" s="252">
        <f t="shared" si="0"/>
        <v>394521</v>
      </c>
      <c r="I9" s="252">
        <f t="shared" si="0"/>
        <v>0</v>
      </c>
      <c r="J9" s="252">
        <f t="shared" si="0"/>
        <v>2198</v>
      </c>
      <c r="K9" s="252"/>
      <c r="L9" s="252"/>
      <c r="M9" s="252">
        <f>SUM(M7:M8)</f>
        <v>678843</v>
      </c>
      <c r="N9" s="253">
        <f>SUM(N7:N8)</f>
        <v>641440</v>
      </c>
      <c r="O9" s="8"/>
      <c r="P9" s="8"/>
      <c r="Q9" s="8"/>
      <c r="R9" s="8"/>
      <c r="S9" s="8"/>
      <c r="T9" s="8"/>
      <c r="U9" s="8"/>
    </row>
    <row r="10" spans="2:21" ht="11.25" customHeight="1" x14ac:dyDescent="0.25">
      <c r="B10" s="254"/>
      <c r="C10" s="255"/>
      <c r="D10" s="255"/>
      <c r="E10" s="256"/>
      <c r="F10" s="256"/>
      <c r="G10" s="256"/>
      <c r="H10" s="256"/>
      <c r="I10" s="256"/>
      <c r="J10" s="256"/>
      <c r="K10" s="256"/>
      <c r="L10" s="256"/>
      <c r="M10" s="256"/>
      <c r="N10" s="257"/>
      <c r="O10" s="8"/>
      <c r="P10" s="8"/>
      <c r="Q10" s="8"/>
      <c r="R10" s="8"/>
      <c r="S10" s="8"/>
      <c r="T10" s="8"/>
      <c r="U10" s="8"/>
    </row>
    <row r="11" spans="2:21" ht="14.25" customHeight="1" x14ac:dyDescent="0.25">
      <c r="B11" s="420" t="s">
        <v>25</v>
      </c>
      <c r="C11" s="417"/>
      <c r="D11" s="417"/>
      <c r="E11" s="250">
        <v>0</v>
      </c>
      <c r="F11" s="250">
        <v>0</v>
      </c>
      <c r="G11" s="250">
        <v>-1</v>
      </c>
      <c r="H11" s="250">
        <v>0</v>
      </c>
      <c r="I11" s="250">
        <v>193369</v>
      </c>
      <c r="J11" s="250">
        <v>215752</v>
      </c>
      <c r="K11" s="250"/>
      <c r="L11" s="250"/>
      <c r="M11" s="250">
        <f>E11+G11+I11+K11</f>
        <v>193368</v>
      </c>
      <c r="N11" s="251">
        <f>F11+H11+J11+L11</f>
        <v>215752</v>
      </c>
      <c r="O11" s="8"/>
      <c r="P11" s="8"/>
      <c r="Q11" s="8"/>
      <c r="R11" s="8"/>
      <c r="S11" s="8"/>
      <c r="T11" s="8"/>
      <c r="U11" s="8"/>
    </row>
    <row r="12" spans="2:21" ht="14.25" customHeight="1" x14ac:dyDescent="0.25">
      <c r="B12" s="420" t="s">
        <v>26</v>
      </c>
      <c r="C12" s="417"/>
      <c r="D12" s="417"/>
      <c r="E12" s="250">
        <v>621</v>
      </c>
      <c r="F12" s="250">
        <v>623</v>
      </c>
      <c r="G12" s="250">
        <v>7</v>
      </c>
      <c r="H12" s="250">
        <v>-3</v>
      </c>
      <c r="I12" s="250">
        <v>218</v>
      </c>
      <c r="J12" s="250">
        <v>22</v>
      </c>
      <c r="K12" s="250"/>
      <c r="L12" s="250"/>
      <c r="M12" s="250">
        <f>E12+G12+I12+K12</f>
        <v>846</v>
      </c>
      <c r="N12" s="251">
        <f>F12+H12+J12+L12</f>
        <v>642</v>
      </c>
      <c r="O12" s="8"/>
      <c r="P12" s="8"/>
      <c r="Q12" s="8"/>
      <c r="R12" s="8"/>
      <c r="S12" s="8"/>
      <c r="T12" s="8"/>
      <c r="U12" s="8"/>
    </row>
    <row r="13" spans="2:21" ht="14.25" customHeight="1" x14ac:dyDescent="0.25">
      <c r="B13" s="413" t="s">
        <v>42</v>
      </c>
      <c r="C13" s="414"/>
      <c r="D13" s="414"/>
      <c r="E13" s="258">
        <f t="shared" ref="E13:J13" si="1">SUM(E9:E12)</f>
        <v>247953</v>
      </c>
      <c r="F13" s="258">
        <f t="shared" si="1"/>
        <v>245344</v>
      </c>
      <c r="G13" s="258">
        <f t="shared" si="1"/>
        <v>431517</v>
      </c>
      <c r="H13" s="258">
        <f t="shared" si="1"/>
        <v>394518</v>
      </c>
      <c r="I13" s="258">
        <f t="shared" si="1"/>
        <v>193587</v>
      </c>
      <c r="J13" s="258">
        <f t="shared" si="1"/>
        <v>217972</v>
      </c>
      <c r="K13" s="258"/>
      <c r="L13" s="258"/>
      <c r="M13" s="258">
        <f>SUM(M9:M12)</f>
        <v>873057</v>
      </c>
      <c r="N13" s="259">
        <f>SUM(N9:N12)</f>
        <v>857834</v>
      </c>
      <c r="O13" s="8"/>
      <c r="P13" s="8"/>
      <c r="Q13" s="8"/>
      <c r="R13" s="8"/>
      <c r="S13" s="8"/>
      <c r="T13" s="8"/>
      <c r="U13" s="8"/>
    </row>
    <row r="14" spans="2:21" ht="11.25" customHeight="1" x14ac:dyDescent="0.25">
      <c r="B14" s="254"/>
      <c r="C14" s="255"/>
      <c r="D14" s="255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8"/>
      <c r="P14" s="8"/>
      <c r="Q14" s="8"/>
      <c r="R14" s="8"/>
      <c r="S14" s="8"/>
      <c r="T14" s="8"/>
      <c r="U14" s="8"/>
    </row>
    <row r="15" spans="2:21" ht="14.25" customHeight="1" x14ac:dyDescent="0.25">
      <c r="B15" s="420" t="s">
        <v>107</v>
      </c>
      <c r="C15" s="417"/>
      <c r="D15" s="417"/>
      <c r="E15" s="250">
        <v>-14126</v>
      </c>
      <c r="F15" s="250">
        <v>-12645</v>
      </c>
      <c r="G15" s="250">
        <v>-27933</v>
      </c>
      <c r="H15" s="250">
        <v>-22856</v>
      </c>
      <c r="I15" s="250">
        <v>-153325</v>
      </c>
      <c r="J15" s="250">
        <v>-177945</v>
      </c>
      <c r="K15" s="250">
        <v>-16774</v>
      </c>
      <c r="L15" s="250">
        <v>-22870</v>
      </c>
      <c r="M15" s="250">
        <f>E15+G15+I15+K15</f>
        <v>-212158</v>
      </c>
      <c r="N15" s="251">
        <f>F15+H15+J15+L15</f>
        <v>-236316</v>
      </c>
      <c r="O15" s="8"/>
      <c r="P15" s="8"/>
      <c r="Q15" s="8"/>
      <c r="R15" s="8"/>
      <c r="S15" s="8"/>
      <c r="T15" s="8"/>
      <c r="U15" s="8"/>
    </row>
    <row r="16" spans="2:21" ht="14.25" customHeight="1" x14ac:dyDescent="0.25">
      <c r="B16" s="413" t="s">
        <v>44</v>
      </c>
      <c r="C16" s="414"/>
      <c r="D16" s="414"/>
      <c r="E16" s="258">
        <f t="shared" ref="E16:N16" si="2">SUM(E13:E15)</f>
        <v>233827</v>
      </c>
      <c r="F16" s="258">
        <f t="shared" si="2"/>
        <v>232699</v>
      </c>
      <c r="G16" s="258">
        <f t="shared" si="2"/>
        <v>403584</v>
      </c>
      <c r="H16" s="258">
        <f t="shared" si="2"/>
        <v>371662</v>
      </c>
      <c r="I16" s="258">
        <f t="shared" si="2"/>
        <v>40262</v>
      </c>
      <c r="J16" s="258">
        <f t="shared" si="2"/>
        <v>40027</v>
      </c>
      <c r="K16" s="258">
        <f t="shared" si="2"/>
        <v>-16774</v>
      </c>
      <c r="L16" s="258">
        <f t="shared" si="2"/>
        <v>-22870</v>
      </c>
      <c r="M16" s="258">
        <f t="shared" si="2"/>
        <v>660899</v>
      </c>
      <c r="N16" s="259">
        <f t="shared" si="2"/>
        <v>621518</v>
      </c>
      <c r="O16" s="8"/>
      <c r="P16" s="8"/>
      <c r="Q16" s="8"/>
      <c r="R16" s="8"/>
      <c r="S16" s="8"/>
      <c r="T16" s="8"/>
      <c r="U16" s="8"/>
    </row>
    <row r="17" spans="2:21" ht="11.25" customHeight="1" x14ac:dyDescent="0.25">
      <c r="B17" s="254"/>
      <c r="C17" s="255"/>
      <c r="D17" s="255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8"/>
      <c r="P17" s="8"/>
      <c r="Q17" s="8"/>
      <c r="R17" s="8"/>
      <c r="S17" s="8"/>
      <c r="T17" s="8"/>
      <c r="U17" s="8"/>
    </row>
    <row r="18" spans="2:21" ht="26.25" customHeight="1" x14ac:dyDescent="0.25">
      <c r="B18" s="430" t="s">
        <v>153</v>
      </c>
      <c r="C18" s="431"/>
      <c r="D18" s="432"/>
      <c r="E18" s="250">
        <v>-39473</v>
      </c>
      <c r="F18" s="250">
        <v>-41072</v>
      </c>
      <c r="G18" s="250">
        <v>-192713</v>
      </c>
      <c r="H18" s="250">
        <v>-182511</v>
      </c>
      <c r="I18" s="250">
        <v>-18436</v>
      </c>
      <c r="J18" s="250">
        <v>-23161</v>
      </c>
      <c r="K18" s="250">
        <v>-18214</v>
      </c>
      <c r="L18" s="250">
        <v>-16305</v>
      </c>
      <c r="M18" s="250">
        <f>E18+G18+I18+K18</f>
        <v>-268836</v>
      </c>
      <c r="N18" s="251">
        <f>F18+H18+J18+L18</f>
        <v>-263049</v>
      </c>
      <c r="O18" s="8"/>
      <c r="P18" s="8"/>
      <c r="Q18" s="8"/>
      <c r="R18" s="8"/>
      <c r="S18" s="8"/>
      <c r="T18" s="8"/>
      <c r="U18" s="8"/>
    </row>
    <row r="19" spans="2:21" ht="14.25" customHeight="1" x14ac:dyDescent="0.25">
      <c r="B19" s="421" t="s">
        <v>108</v>
      </c>
      <c r="C19" s="422"/>
      <c r="D19" s="422"/>
      <c r="E19" s="252">
        <f t="shared" ref="E19:N19" si="3">SUM(E16:E18)</f>
        <v>194354</v>
      </c>
      <c r="F19" s="252">
        <f t="shared" si="3"/>
        <v>191627</v>
      </c>
      <c r="G19" s="252">
        <f t="shared" si="3"/>
        <v>210871</v>
      </c>
      <c r="H19" s="252">
        <f t="shared" si="3"/>
        <v>189151</v>
      </c>
      <c r="I19" s="252">
        <f t="shared" si="3"/>
        <v>21826</v>
      </c>
      <c r="J19" s="252">
        <f t="shared" si="3"/>
        <v>16866</v>
      </c>
      <c r="K19" s="252">
        <f t="shared" si="3"/>
        <v>-34988</v>
      </c>
      <c r="L19" s="252">
        <f t="shared" si="3"/>
        <v>-39175</v>
      </c>
      <c r="M19" s="252">
        <f t="shared" si="3"/>
        <v>392063</v>
      </c>
      <c r="N19" s="253">
        <f t="shared" si="3"/>
        <v>358469</v>
      </c>
      <c r="O19" s="8"/>
      <c r="P19" s="8"/>
      <c r="Q19" s="8"/>
      <c r="R19" s="8"/>
      <c r="S19" s="8"/>
      <c r="T19" s="8"/>
      <c r="U19" s="8"/>
    </row>
    <row r="20" spans="2:21" ht="11.25" customHeight="1" x14ac:dyDescent="0.25">
      <c r="B20" s="254"/>
      <c r="C20" s="255"/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8"/>
      <c r="P20" s="8"/>
      <c r="Q20" s="8"/>
      <c r="R20" s="8"/>
      <c r="S20" s="8"/>
      <c r="T20" s="8"/>
      <c r="U20" s="8"/>
    </row>
    <row r="21" spans="2:21" ht="26.25" customHeight="1" x14ac:dyDescent="0.25">
      <c r="B21" s="416" t="s">
        <v>45</v>
      </c>
      <c r="C21" s="417"/>
      <c r="D21" s="417"/>
      <c r="E21" s="250">
        <v>-20720</v>
      </c>
      <c r="F21" s="250">
        <v>-24346</v>
      </c>
      <c r="G21" s="250">
        <v>-85693</v>
      </c>
      <c r="H21" s="250">
        <v>-84718</v>
      </c>
      <c r="I21" s="250">
        <v>0</v>
      </c>
      <c r="J21" s="250">
        <v>0</v>
      </c>
      <c r="K21" s="250">
        <v>0</v>
      </c>
      <c r="L21" s="250">
        <v>0</v>
      </c>
      <c r="M21" s="250">
        <f>E21+G21+I21+K21</f>
        <v>-106413</v>
      </c>
      <c r="N21" s="251">
        <f>F21+H21+J21+L21</f>
        <v>-109064</v>
      </c>
      <c r="O21" s="8"/>
      <c r="P21" s="8"/>
      <c r="Q21" s="8"/>
      <c r="R21" s="8"/>
      <c r="S21" s="8"/>
      <c r="T21" s="8"/>
      <c r="U21" s="8"/>
    </row>
    <row r="22" spans="2:21" ht="14.25" customHeight="1" x14ac:dyDescent="0.25">
      <c r="B22" s="421" t="s">
        <v>110</v>
      </c>
      <c r="C22" s="422"/>
      <c r="D22" s="422"/>
      <c r="E22" s="252">
        <f t="shared" ref="E22:N22" si="4">SUM(E19:E21)</f>
        <v>173634</v>
      </c>
      <c r="F22" s="252">
        <f t="shared" si="4"/>
        <v>167281</v>
      </c>
      <c r="G22" s="252">
        <f t="shared" si="4"/>
        <v>125178</v>
      </c>
      <c r="H22" s="252">
        <f t="shared" si="4"/>
        <v>104433</v>
      </c>
      <c r="I22" s="252">
        <f t="shared" si="4"/>
        <v>21826</v>
      </c>
      <c r="J22" s="252">
        <f t="shared" si="4"/>
        <v>16866</v>
      </c>
      <c r="K22" s="252">
        <f t="shared" si="4"/>
        <v>-34988</v>
      </c>
      <c r="L22" s="252">
        <f t="shared" si="4"/>
        <v>-39175</v>
      </c>
      <c r="M22" s="258">
        <f t="shared" si="4"/>
        <v>285650</v>
      </c>
      <c r="N22" s="259">
        <f t="shared" si="4"/>
        <v>249405</v>
      </c>
      <c r="O22" s="8"/>
      <c r="P22" s="8"/>
      <c r="Q22" s="8"/>
      <c r="R22" s="8"/>
      <c r="S22" s="8"/>
      <c r="T22" s="8"/>
      <c r="U22" s="8"/>
    </row>
    <row r="23" spans="2:21" ht="11.25" customHeight="1" x14ac:dyDescent="0.25">
      <c r="B23" s="254"/>
      <c r="C23" s="255"/>
      <c r="D23" s="255"/>
      <c r="E23" s="256"/>
      <c r="F23" s="260"/>
      <c r="G23" s="260"/>
      <c r="H23" s="260"/>
      <c r="I23" s="260"/>
      <c r="J23" s="260"/>
      <c r="K23" s="260"/>
      <c r="L23" s="260"/>
      <c r="M23" s="258"/>
      <c r="N23" s="259"/>
      <c r="O23" s="8"/>
      <c r="P23" s="8"/>
      <c r="Q23" s="8"/>
      <c r="R23" s="8"/>
      <c r="S23" s="8"/>
      <c r="T23" s="8"/>
      <c r="U23" s="8"/>
    </row>
    <row r="24" spans="2:21" ht="14.25" customHeight="1" x14ac:dyDescent="0.25">
      <c r="B24" s="420" t="s">
        <v>47</v>
      </c>
      <c r="C24" s="417"/>
      <c r="D24" s="417"/>
      <c r="E24" s="250"/>
      <c r="F24" s="261"/>
      <c r="G24" s="261"/>
      <c r="H24" s="261"/>
      <c r="I24" s="261"/>
      <c r="J24" s="261"/>
      <c r="K24" s="261"/>
      <c r="L24" s="261"/>
      <c r="M24" s="250">
        <v>-69405</v>
      </c>
      <c r="N24" s="251">
        <v>-74062</v>
      </c>
      <c r="O24" s="8"/>
      <c r="P24" s="8"/>
      <c r="Q24" s="8"/>
      <c r="R24" s="8"/>
      <c r="S24" s="8"/>
      <c r="T24" s="8"/>
      <c r="U24" s="8"/>
    </row>
    <row r="25" spans="2:21" ht="14.25" customHeight="1" x14ac:dyDescent="0.25">
      <c r="B25" s="420" t="s">
        <v>48</v>
      </c>
      <c r="C25" s="417"/>
      <c r="D25" s="427"/>
      <c r="E25" s="261"/>
      <c r="F25" s="261"/>
      <c r="G25" s="261"/>
      <c r="H25" s="261"/>
      <c r="I25" s="261"/>
      <c r="J25" s="261"/>
      <c r="K25" s="261"/>
      <c r="L25" s="261"/>
      <c r="M25" s="250">
        <v>-5984</v>
      </c>
      <c r="N25" s="251">
        <v>-8433</v>
      </c>
      <c r="O25" s="8"/>
      <c r="P25" s="8"/>
      <c r="Q25" s="8"/>
      <c r="R25" s="8"/>
      <c r="S25" s="8"/>
      <c r="T25" s="8"/>
      <c r="U25" s="8"/>
    </row>
    <row r="26" spans="2:21" ht="14.25" customHeight="1" x14ac:dyDescent="0.25">
      <c r="B26" s="413" t="s">
        <v>49</v>
      </c>
      <c r="C26" s="414"/>
      <c r="D26" s="415"/>
      <c r="E26" s="261"/>
      <c r="F26" s="261"/>
      <c r="G26" s="261"/>
      <c r="H26" s="261"/>
      <c r="I26" s="261"/>
      <c r="J26" s="261"/>
      <c r="K26" s="261"/>
      <c r="L26" s="261"/>
      <c r="M26" s="258">
        <f>SUM(M22:M25)</f>
        <v>210261</v>
      </c>
      <c r="N26" s="259">
        <f>SUM(N22:N25)</f>
        <v>166910</v>
      </c>
      <c r="O26" s="8"/>
      <c r="P26" s="8"/>
      <c r="Q26" s="8"/>
      <c r="R26" s="8"/>
      <c r="S26" s="8"/>
      <c r="T26" s="8"/>
      <c r="U26" s="8"/>
    </row>
    <row r="27" spans="2:21" ht="14.25" customHeight="1" x14ac:dyDescent="0.25">
      <c r="B27" s="420" t="s">
        <v>111</v>
      </c>
      <c r="C27" s="417"/>
      <c r="D27" s="427"/>
      <c r="E27" s="261"/>
      <c r="F27" s="261"/>
      <c r="G27" s="261"/>
      <c r="H27" s="261"/>
      <c r="I27" s="261"/>
      <c r="J27" s="261"/>
      <c r="K27" s="261"/>
      <c r="L27" s="261"/>
      <c r="M27" s="250">
        <v>-6816</v>
      </c>
      <c r="N27" s="251">
        <v>665</v>
      </c>
      <c r="O27" s="8"/>
      <c r="P27" s="8"/>
      <c r="Q27" s="8"/>
      <c r="R27" s="8"/>
      <c r="S27" s="8"/>
      <c r="T27" s="8"/>
      <c r="U27" s="8"/>
    </row>
    <row r="28" spans="2:21" ht="14.25" customHeight="1" x14ac:dyDescent="0.25">
      <c r="B28" s="420" t="s">
        <v>50</v>
      </c>
      <c r="C28" s="417"/>
      <c r="D28" s="427"/>
      <c r="E28" s="261"/>
      <c r="F28" s="261"/>
      <c r="G28" s="261"/>
      <c r="H28" s="261"/>
      <c r="I28" s="261"/>
      <c r="J28" s="261"/>
      <c r="K28" s="261"/>
      <c r="L28" s="261"/>
      <c r="M28" s="250">
        <v>-2927</v>
      </c>
      <c r="N28" s="251">
        <v>-9191</v>
      </c>
      <c r="O28" s="8"/>
      <c r="P28" s="8"/>
      <c r="Q28" s="8"/>
      <c r="R28" s="8"/>
      <c r="S28" s="8"/>
      <c r="T28" s="8"/>
      <c r="U28" s="8"/>
    </row>
    <row r="29" spans="2:21" ht="14.25" customHeight="1" x14ac:dyDescent="0.25">
      <c r="B29" s="413" t="s">
        <v>51</v>
      </c>
      <c r="C29" s="414"/>
      <c r="D29" s="415"/>
      <c r="E29" s="261"/>
      <c r="F29" s="261"/>
      <c r="G29" s="261"/>
      <c r="H29" s="261"/>
      <c r="I29" s="261"/>
      <c r="J29" s="261"/>
      <c r="K29" s="261"/>
      <c r="L29" s="261"/>
      <c r="M29" s="258">
        <f>SUM(M26:M28)</f>
        <v>200518</v>
      </c>
      <c r="N29" s="259">
        <f>SUM(N26:N28)</f>
        <v>158384</v>
      </c>
      <c r="O29" s="8"/>
      <c r="P29" s="8"/>
      <c r="Q29" s="8"/>
      <c r="R29" s="8"/>
      <c r="S29" s="8"/>
      <c r="T29" s="8"/>
      <c r="U29" s="8"/>
    </row>
    <row r="30" spans="2:21" ht="14.25" customHeight="1" x14ac:dyDescent="0.25">
      <c r="B30" s="424" t="s">
        <v>112</v>
      </c>
      <c r="C30" s="425"/>
      <c r="D30" s="426"/>
      <c r="E30" s="261"/>
      <c r="F30" s="261"/>
      <c r="G30" s="261"/>
      <c r="H30" s="261"/>
      <c r="I30" s="261"/>
      <c r="J30" s="261"/>
      <c r="K30" s="261"/>
      <c r="L30" s="261"/>
      <c r="M30" s="262">
        <v>-60913</v>
      </c>
      <c r="N30" s="263">
        <v>-47833</v>
      </c>
      <c r="O30" s="8"/>
      <c r="P30" s="8"/>
      <c r="Q30" s="8"/>
      <c r="R30" s="8"/>
      <c r="S30" s="8"/>
      <c r="T30" s="8"/>
      <c r="U30" s="8"/>
    </row>
    <row r="31" spans="2:21" ht="11.25" customHeight="1" x14ac:dyDescent="0.25">
      <c r="B31" s="420"/>
      <c r="C31" s="417"/>
      <c r="D31" s="427"/>
      <c r="E31" s="261"/>
      <c r="F31" s="261"/>
      <c r="G31" s="261"/>
      <c r="H31" s="261"/>
      <c r="I31" s="261"/>
      <c r="J31" s="261"/>
      <c r="K31" s="261"/>
      <c r="L31" s="261"/>
      <c r="M31" s="264"/>
      <c r="N31" s="265"/>
      <c r="O31" s="8"/>
      <c r="P31" s="8"/>
      <c r="Q31" s="8"/>
      <c r="R31" s="8"/>
      <c r="S31" s="8"/>
      <c r="T31" s="8"/>
      <c r="U31" s="8"/>
    </row>
    <row r="32" spans="2:21" ht="14.25" customHeight="1" thickBot="1" x14ac:dyDescent="0.3">
      <c r="B32" s="428" t="s">
        <v>29</v>
      </c>
      <c r="C32" s="429"/>
      <c r="D32" s="429"/>
      <c r="E32" s="266"/>
      <c r="F32" s="267"/>
      <c r="G32" s="267"/>
      <c r="H32" s="267"/>
      <c r="I32" s="267"/>
      <c r="J32" s="267"/>
      <c r="K32" s="267"/>
      <c r="L32" s="267"/>
      <c r="M32" s="266">
        <f>SUM(M29:M31)</f>
        <v>139605</v>
      </c>
      <c r="N32" s="268">
        <f>SUM(N29:N31)</f>
        <v>110551</v>
      </c>
      <c r="O32" s="8"/>
      <c r="P32" s="8"/>
      <c r="Q32" s="8"/>
      <c r="R32" s="8"/>
      <c r="S32" s="8"/>
      <c r="T32" s="8"/>
      <c r="U32" s="8"/>
    </row>
    <row r="33" spans="2:21" ht="15" customHeight="1" thickTop="1" x14ac:dyDescent="0.25">
      <c r="B33" s="269"/>
      <c r="C33" s="201"/>
      <c r="D33" s="201"/>
      <c r="E33" s="206"/>
      <c r="F33" s="206"/>
      <c r="G33" s="206"/>
      <c r="H33" s="270"/>
      <c r="I33" s="270"/>
      <c r="J33" s="270"/>
      <c r="K33" s="270"/>
      <c r="L33" s="270"/>
      <c r="M33" s="270"/>
      <c r="N33" s="270"/>
      <c r="O33" s="8"/>
      <c r="P33" s="8"/>
      <c r="Q33" s="8"/>
      <c r="R33" s="8"/>
      <c r="S33" s="8"/>
      <c r="T33" s="8"/>
      <c r="U33" s="8"/>
    </row>
    <row r="34" spans="2:21" ht="15" customHeight="1" x14ac:dyDescent="0.25">
      <c r="B34" s="269"/>
      <c r="C34" s="201"/>
      <c r="D34" s="201"/>
      <c r="E34" s="206"/>
      <c r="F34" s="206"/>
      <c r="G34" s="206"/>
      <c r="H34" s="270"/>
      <c r="I34" s="270"/>
      <c r="J34" s="270"/>
      <c r="K34" s="270"/>
      <c r="L34" s="270"/>
      <c r="M34" s="270"/>
      <c r="N34" s="270"/>
      <c r="O34" s="8"/>
      <c r="P34" s="8"/>
      <c r="Q34" s="8"/>
      <c r="R34" s="8"/>
      <c r="S34" s="8"/>
      <c r="T34" s="8"/>
      <c r="U34" s="8"/>
    </row>
    <row r="35" spans="2:21" ht="15" customHeight="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2:21" ht="15" customHeight="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2:21" ht="15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2:21" ht="15" customHeight="1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2:21" ht="15" customHeight="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2:2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2:2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2:21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2:2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2:21" x14ac:dyDescent="0.25">
      <c r="B44" s="8"/>
      <c r="C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2:21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2:21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2:21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</sheetData>
  <mergeCells count="33">
    <mergeCell ref="B18:D18"/>
    <mergeCell ref="E5:F5"/>
    <mergeCell ref="G5:H5"/>
    <mergeCell ref="I5:J5"/>
    <mergeCell ref="B2:C2"/>
    <mergeCell ref="E3:F3"/>
    <mergeCell ref="G3:H4"/>
    <mergeCell ref="I3:J3"/>
    <mergeCell ref="B30:D30"/>
    <mergeCell ref="B31:D31"/>
    <mergeCell ref="B32:D32"/>
    <mergeCell ref="B22:D22"/>
    <mergeCell ref="B24:D24"/>
    <mergeCell ref="B25:D25"/>
    <mergeCell ref="B26:D26"/>
    <mergeCell ref="B27:D27"/>
    <mergeCell ref="B28:D28"/>
    <mergeCell ref="K5:L5"/>
    <mergeCell ref="M5:N5"/>
    <mergeCell ref="B3:C3"/>
    <mergeCell ref="B29:D29"/>
    <mergeCell ref="B21:D21"/>
    <mergeCell ref="M3:N3"/>
    <mergeCell ref="B7:D7"/>
    <mergeCell ref="B8:D8"/>
    <mergeCell ref="B9:D9"/>
    <mergeCell ref="B11:D11"/>
    <mergeCell ref="B12:D12"/>
    <mergeCell ref="K3:L3"/>
    <mergeCell ref="B13:D13"/>
    <mergeCell ref="B15:D15"/>
    <mergeCell ref="B16:D16"/>
    <mergeCell ref="B19:D1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&amp;CPage &amp;P</oddFooter>
  </headerFooter>
  <ignoredErrors>
    <ignoredError sqref="E9" formulaRange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O48"/>
  <sheetViews>
    <sheetView workbookViewId="0"/>
  </sheetViews>
  <sheetFormatPr defaultColWidth="9.109375" defaultRowHeight="13.8" x14ac:dyDescent="0.25"/>
  <cols>
    <col min="1" max="1" width="2.6640625" style="3" customWidth="1"/>
    <col min="2" max="14" width="10.33203125" style="3" customWidth="1"/>
    <col min="15" max="16384" width="9.109375" style="3"/>
  </cols>
  <sheetData>
    <row r="1" spans="2:15" ht="15" customHeight="1" x14ac:dyDescent="0.25">
      <c r="B1" s="377" t="s">
        <v>165</v>
      </c>
      <c r="C1" s="377"/>
      <c r="D1" s="377"/>
      <c r="E1" s="377"/>
      <c r="F1" s="377"/>
      <c r="G1" s="377"/>
      <c r="H1" s="377"/>
      <c r="I1" s="377"/>
      <c r="J1" s="241"/>
      <c r="K1" s="241"/>
      <c r="L1" s="241"/>
      <c r="M1" s="241"/>
      <c r="N1" s="241"/>
    </row>
    <row r="2" spans="2:15" ht="15" customHeight="1" x14ac:dyDescent="0.25">
      <c r="B2" s="400"/>
      <c r="C2" s="400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15" ht="14.25" customHeight="1" x14ac:dyDescent="0.25">
      <c r="B3" s="411" t="s">
        <v>59</v>
      </c>
      <c r="C3" s="412"/>
      <c r="D3" s="242"/>
      <c r="E3" s="418" t="s">
        <v>1</v>
      </c>
      <c r="F3" s="423"/>
      <c r="G3" s="433" t="s">
        <v>18</v>
      </c>
      <c r="H3" s="434"/>
      <c r="I3" s="418" t="s">
        <v>2</v>
      </c>
      <c r="J3" s="423"/>
      <c r="K3" s="418" t="s">
        <v>106</v>
      </c>
      <c r="L3" s="423"/>
      <c r="M3" s="418" t="s">
        <v>17</v>
      </c>
      <c r="N3" s="419"/>
      <c r="O3" s="8"/>
    </row>
    <row r="4" spans="2:15" ht="14.25" customHeight="1" x14ac:dyDescent="0.25">
      <c r="B4" s="200"/>
      <c r="C4" s="201"/>
      <c r="D4" s="201"/>
      <c r="E4" s="200"/>
      <c r="F4" s="243"/>
      <c r="G4" s="435"/>
      <c r="H4" s="436"/>
      <c r="I4" s="244"/>
      <c r="J4" s="245"/>
      <c r="K4" s="244"/>
      <c r="L4" s="245"/>
      <c r="M4" s="244"/>
      <c r="N4" s="246"/>
      <c r="O4" s="8"/>
    </row>
    <row r="5" spans="2:15" ht="14.25" customHeight="1" x14ac:dyDescent="0.25">
      <c r="B5" s="248"/>
      <c r="C5" s="167"/>
      <c r="D5" s="167"/>
      <c r="E5" s="249" t="s">
        <v>174</v>
      </c>
      <c r="F5" s="249" t="s">
        <v>175</v>
      </c>
      <c r="G5" s="249" t="s">
        <v>174</v>
      </c>
      <c r="H5" s="249" t="s">
        <v>175</v>
      </c>
      <c r="I5" s="249" t="s">
        <v>174</v>
      </c>
      <c r="J5" s="249" t="s">
        <v>175</v>
      </c>
      <c r="K5" s="249" t="s">
        <v>174</v>
      </c>
      <c r="L5" s="249" t="s">
        <v>175</v>
      </c>
      <c r="M5" s="249" t="s">
        <v>174</v>
      </c>
      <c r="N5" s="249" t="s">
        <v>175</v>
      </c>
      <c r="O5" s="8"/>
    </row>
    <row r="6" spans="2:15" ht="14.25" customHeight="1" x14ac:dyDescent="0.25">
      <c r="B6" s="247"/>
      <c r="C6" s="201"/>
      <c r="D6" s="201"/>
      <c r="E6" s="272"/>
      <c r="F6" s="272"/>
      <c r="G6" s="272"/>
      <c r="H6" s="272"/>
      <c r="I6" s="272"/>
      <c r="J6" s="272"/>
      <c r="K6" s="272"/>
      <c r="L6" s="272"/>
      <c r="M6" s="272"/>
      <c r="N6" s="273"/>
      <c r="O6" s="8"/>
    </row>
    <row r="7" spans="2:15" ht="14.25" customHeight="1" x14ac:dyDescent="0.25">
      <c r="B7" s="420" t="s">
        <v>40</v>
      </c>
      <c r="C7" s="417"/>
      <c r="D7" s="417"/>
      <c r="E7" s="250">
        <v>28937</v>
      </c>
      <c r="F7" s="250">
        <v>38431</v>
      </c>
      <c r="G7" s="250">
        <v>74013</v>
      </c>
      <c r="H7" s="250">
        <v>60174</v>
      </c>
      <c r="I7" s="250">
        <v>0</v>
      </c>
      <c r="J7" s="250">
        <v>0</v>
      </c>
      <c r="K7" s="250"/>
      <c r="L7" s="250"/>
      <c r="M7" s="250">
        <f>E7+G7+I7+K7</f>
        <v>102950</v>
      </c>
      <c r="N7" s="251">
        <f>F7+H7+J7+L7</f>
        <v>98605</v>
      </c>
      <c r="O7" s="8"/>
    </row>
    <row r="8" spans="2:15" ht="14.25" customHeight="1" x14ac:dyDescent="0.25">
      <c r="B8" s="420" t="s">
        <v>41</v>
      </c>
      <c r="C8" s="417"/>
      <c r="D8" s="417"/>
      <c r="E8" s="250">
        <v>39046</v>
      </c>
      <c r="F8" s="250">
        <v>38409</v>
      </c>
      <c r="G8" s="250">
        <v>63568</v>
      </c>
      <c r="H8" s="250">
        <v>57922</v>
      </c>
      <c r="I8" s="250">
        <v>0</v>
      </c>
      <c r="J8" s="250">
        <v>24</v>
      </c>
      <c r="K8" s="250"/>
      <c r="L8" s="250"/>
      <c r="M8" s="250">
        <f>E8+G8+I8+K8</f>
        <v>102614</v>
      </c>
      <c r="N8" s="251">
        <f>F8+H8+J8+L8</f>
        <v>96355</v>
      </c>
      <c r="O8" s="8"/>
    </row>
    <row r="9" spans="2:15" ht="14.25" customHeight="1" x14ac:dyDescent="0.25">
      <c r="B9" s="421" t="s">
        <v>24</v>
      </c>
      <c r="C9" s="422"/>
      <c r="D9" s="422"/>
      <c r="E9" s="252">
        <f t="shared" ref="E9:J9" si="0">SUM(E7:E8)</f>
        <v>67983</v>
      </c>
      <c r="F9" s="252">
        <f t="shared" si="0"/>
        <v>76840</v>
      </c>
      <c r="G9" s="252">
        <f t="shared" si="0"/>
        <v>137581</v>
      </c>
      <c r="H9" s="252">
        <f t="shared" si="0"/>
        <v>118096</v>
      </c>
      <c r="I9" s="252">
        <f t="shared" si="0"/>
        <v>0</v>
      </c>
      <c r="J9" s="252">
        <f t="shared" si="0"/>
        <v>24</v>
      </c>
      <c r="K9" s="252"/>
      <c r="L9" s="252"/>
      <c r="M9" s="252">
        <f>SUM(M7:M8)</f>
        <v>205564</v>
      </c>
      <c r="N9" s="253">
        <f>SUM(N7:N8)</f>
        <v>194960</v>
      </c>
      <c r="O9" s="8"/>
    </row>
    <row r="10" spans="2:15" ht="11.25" customHeight="1" x14ac:dyDescent="0.25">
      <c r="B10" s="254"/>
      <c r="C10" s="255"/>
      <c r="D10" s="255"/>
      <c r="E10" s="256"/>
      <c r="F10" s="256"/>
      <c r="G10" s="256"/>
      <c r="H10" s="256"/>
      <c r="I10" s="256"/>
      <c r="J10" s="256"/>
      <c r="K10" s="256"/>
      <c r="L10" s="256"/>
      <c r="M10" s="256"/>
      <c r="N10" s="257"/>
      <c r="O10" s="8"/>
    </row>
    <row r="11" spans="2:15" ht="14.25" customHeight="1" x14ac:dyDescent="0.25">
      <c r="B11" s="420" t="s">
        <v>25</v>
      </c>
      <c r="C11" s="417"/>
      <c r="D11" s="417"/>
      <c r="E11" s="250">
        <v>0</v>
      </c>
      <c r="F11" s="250">
        <v>0</v>
      </c>
      <c r="G11" s="250">
        <v>-3</v>
      </c>
      <c r="H11" s="250">
        <v>0</v>
      </c>
      <c r="I11" s="250">
        <v>51666</v>
      </c>
      <c r="J11" s="250">
        <v>52203</v>
      </c>
      <c r="K11" s="250"/>
      <c r="L11" s="250"/>
      <c r="M11" s="250">
        <f>E11+G11+I11+K11</f>
        <v>51663</v>
      </c>
      <c r="N11" s="251">
        <f>F11+H11+J11+L11</f>
        <v>52203</v>
      </c>
      <c r="O11" s="8"/>
    </row>
    <row r="12" spans="2:15" ht="14.25" customHeight="1" x14ac:dyDescent="0.25">
      <c r="B12" s="420" t="s">
        <v>26</v>
      </c>
      <c r="C12" s="417"/>
      <c r="D12" s="417"/>
      <c r="E12" s="250">
        <f>175+1</f>
        <v>176</v>
      </c>
      <c r="F12" s="250">
        <v>157</v>
      </c>
      <c r="G12" s="250">
        <v>0</v>
      </c>
      <c r="H12" s="250">
        <v>-4</v>
      </c>
      <c r="I12" s="250">
        <v>96</v>
      </c>
      <c r="J12" s="250">
        <v>7</v>
      </c>
      <c r="K12" s="250"/>
      <c r="L12" s="250"/>
      <c r="M12" s="250">
        <f>E12+G12+I12+K12</f>
        <v>272</v>
      </c>
      <c r="N12" s="251">
        <f>F12+H12+J12+L12</f>
        <v>160</v>
      </c>
      <c r="O12" s="8"/>
    </row>
    <row r="13" spans="2:15" ht="14.25" customHeight="1" x14ac:dyDescent="0.25">
      <c r="B13" s="413" t="s">
        <v>42</v>
      </c>
      <c r="C13" s="414"/>
      <c r="D13" s="414"/>
      <c r="E13" s="258">
        <f t="shared" ref="E13:J13" si="1">SUM(E9:E12)</f>
        <v>68159</v>
      </c>
      <c r="F13" s="258">
        <f t="shared" si="1"/>
        <v>76997</v>
      </c>
      <c r="G13" s="258">
        <f t="shared" si="1"/>
        <v>137578</v>
      </c>
      <c r="H13" s="258">
        <f t="shared" si="1"/>
        <v>118092</v>
      </c>
      <c r="I13" s="258">
        <f t="shared" si="1"/>
        <v>51762</v>
      </c>
      <c r="J13" s="258">
        <f t="shared" si="1"/>
        <v>52234</v>
      </c>
      <c r="K13" s="258"/>
      <c r="L13" s="258"/>
      <c r="M13" s="258">
        <f>SUM(M9:M12)</f>
        <v>257499</v>
      </c>
      <c r="N13" s="259">
        <f>SUM(N9:N12)</f>
        <v>247323</v>
      </c>
      <c r="O13" s="8"/>
    </row>
    <row r="14" spans="2:15" ht="11.25" customHeight="1" x14ac:dyDescent="0.25">
      <c r="B14" s="254"/>
      <c r="C14" s="255"/>
      <c r="D14" s="255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8"/>
    </row>
    <row r="15" spans="2:15" ht="14.25" customHeight="1" x14ac:dyDescent="0.25">
      <c r="B15" s="420" t="s">
        <v>107</v>
      </c>
      <c r="C15" s="417"/>
      <c r="D15" s="417"/>
      <c r="E15" s="250">
        <f>-4089</f>
        <v>-4089</v>
      </c>
      <c r="F15" s="250">
        <v>-3328</v>
      </c>
      <c r="G15" s="250">
        <f>-6937</f>
        <v>-6937</v>
      </c>
      <c r="H15" s="250">
        <v>-6300</v>
      </c>
      <c r="I15" s="250">
        <f>-40413-1</f>
        <v>-40414</v>
      </c>
      <c r="J15" s="250">
        <v>-40289</v>
      </c>
      <c r="K15" s="250">
        <v>-2862</v>
      </c>
      <c r="L15" s="250">
        <v>-4083</v>
      </c>
      <c r="M15" s="250">
        <f>E15+G15+I15+K15</f>
        <v>-54302</v>
      </c>
      <c r="N15" s="251">
        <f>F15+H15+J15+L15</f>
        <v>-54000</v>
      </c>
      <c r="O15" s="8"/>
    </row>
    <row r="16" spans="2:15" ht="14.25" customHeight="1" x14ac:dyDescent="0.25">
      <c r="B16" s="413" t="s">
        <v>44</v>
      </c>
      <c r="C16" s="414"/>
      <c r="D16" s="414"/>
      <c r="E16" s="258">
        <f t="shared" ref="E16:N16" si="2">SUM(E13:E15)</f>
        <v>64070</v>
      </c>
      <c r="F16" s="258">
        <f t="shared" si="2"/>
        <v>73669</v>
      </c>
      <c r="G16" s="258">
        <f t="shared" si="2"/>
        <v>130641</v>
      </c>
      <c r="H16" s="258">
        <f t="shared" si="2"/>
        <v>111792</v>
      </c>
      <c r="I16" s="258">
        <f t="shared" si="2"/>
        <v>11348</v>
      </c>
      <c r="J16" s="258">
        <f t="shared" si="2"/>
        <v>11945</v>
      </c>
      <c r="K16" s="258">
        <f t="shared" si="2"/>
        <v>-2862</v>
      </c>
      <c r="L16" s="258">
        <f t="shared" si="2"/>
        <v>-4083</v>
      </c>
      <c r="M16" s="258">
        <f t="shared" si="2"/>
        <v>203197</v>
      </c>
      <c r="N16" s="259">
        <f t="shared" si="2"/>
        <v>193323</v>
      </c>
      <c r="O16" s="8"/>
    </row>
    <row r="17" spans="2:15" ht="11.25" customHeight="1" x14ac:dyDescent="0.25">
      <c r="B17" s="254"/>
      <c r="C17" s="255"/>
      <c r="D17" s="255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8"/>
    </row>
    <row r="18" spans="2:15" ht="26.25" customHeight="1" x14ac:dyDescent="0.25">
      <c r="B18" s="430" t="s">
        <v>109</v>
      </c>
      <c r="C18" s="431"/>
      <c r="D18" s="432"/>
      <c r="E18" s="250">
        <v>-14492</v>
      </c>
      <c r="F18" s="250">
        <v>-15320</v>
      </c>
      <c r="G18" s="250">
        <v>-48083</v>
      </c>
      <c r="H18" s="250">
        <v>-47190</v>
      </c>
      <c r="I18" s="250">
        <v>-4220</v>
      </c>
      <c r="J18" s="250">
        <v>-5214</v>
      </c>
      <c r="K18" s="250">
        <v>-4512</v>
      </c>
      <c r="L18" s="250">
        <v>-4219</v>
      </c>
      <c r="M18" s="250">
        <f>E18+G18+I18+K18</f>
        <v>-71307</v>
      </c>
      <c r="N18" s="251">
        <f>F18+H18+J18+L18</f>
        <v>-71943</v>
      </c>
      <c r="O18" s="8"/>
    </row>
    <row r="19" spans="2:15" ht="14.25" customHeight="1" x14ac:dyDescent="0.25">
      <c r="B19" s="421" t="s">
        <v>108</v>
      </c>
      <c r="C19" s="422"/>
      <c r="D19" s="422"/>
      <c r="E19" s="252">
        <f t="shared" ref="E19:N19" si="3">SUM(E16:E18)</f>
        <v>49578</v>
      </c>
      <c r="F19" s="252">
        <f t="shared" si="3"/>
        <v>58349</v>
      </c>
      <c r="G19" s="252">
        <f t="shared" si="3"/>
        <v>82558</v>
      </c>
      <c r="H19" s="252">
        <f t="shared" si="3"/>
        <v>64602</v>
      </c>
      <c r="I19" s="252">
        <f t="shared" si="3"/>
        <v>7128</v>
      </c>
      <c r="J19" s="252">
        <f t="shared" si="3"/>
        <v>6731</v>
      </c>
      <c r="K19" s="252">
        <f t="shared" si="3"/>
        <v>-7374</v>
      </c>
      <c r="L19" s="252">
        <f t="shared" si="3"/>
        <v>-8302</v>
      </c>
      <c r="M19" s="252">
        <f t="shared" si="3"/>
        <v>131890</v>
      </c>
      <c r="N19" s="253">
        <f t="shared" si="3"/>
        <v>121380</v>
      </c>
      <c r="O19" s="8"/>
    </row>
    <row r="20" spans="2:15" ht="11.25" customHeight="1" x14ac:dyDescent="0.25">
      <c r="B20" s="254"/>
      <c r="C20" s="255"/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8"/>
    </row>
    <row r="21" spans="2:15" ht="26.25" customHeight="1" x14ac:dyDescent="0.25">
      <c r="B21" s="416" t="s">
        <v>45</v>
      </c>
      <c r="C21" s="417"/>
      <c r="D21" s="417"/>
      <c r="E21" s="250">
        <v>-5342</v>
      </c>
      <c r="F21" s="250">
        <v>-5939</v>
      </c>
      <c r="G21" s="250">
        <v>-21720</v>
      </c>
      <c r="H21" s="250">
        <v>-22115</v>
      </c>
      <c r="I21" s="250">
        <v>0</v>
      </c>
      <c r="J21" s="250">
        <v>0</v>
      </c>
      <c r="K21" s="250">
        <v>0</v>
      </c>
      <c r="L21" s="250">
        <v>0</v>
      </c>
      <c r="M21" s="250">
        <f>E21+G21+I21+K21</f>
        <v>-27062</v>
      </c>
      <c r="N21" s="251">
        <f>F21+H21+J21+L21</f>
        <v>-28054</v>
      </c>
      <c r="O21" s="8"/>
    </row>
    <row r="22" spans="2:15" ht="14.25" customHeight="1" x14ac:dyDescent="0.25">
      <c r="B22" s="421" t="s">
        <v>110</v>
      </c>
      <c r="C22" s="422"/>
      <c r="D22" s="422"/>
      <c r="E22" s="252">
        <f t="shared" ref="E22:N22" si="4">SUM(E19:E21)</f>
        <v>44236</v>
      </c>
      <c r="F22" s="252">
        <f t="shared" si="4"/>
        <v>52410</v>
      </c>
      <c r="G22" s="252">
        <f t="shared" si="4"/>
        <v>60838</v>
      </c>
      <c r="H22" s="252">
        <f t="shared" si="4"/>
        <v>42487</v>
      </c>
      <c r="I22" s="252">
        <f t="shared" si="4"/>
        <v>7128</v>
      </c>
      <c r="J22" s="252">
        <f t="shared" si="4"/>
        <v>6731</v>
      </c>
      <c r="K22" s="252">
        <f t="shared" si="4"/>
        <v>-7374</v>
      </c>
      <c r="L22" s="252">
        <f t="shared" si="4"/>
        <v>-8302</v>
      </c>
      <c r="M22" s="258">
        <f t="shared" si="4"/>
        <v>104828</v>
      </c>
      <c r="N22" s="259">
        <f t="shared" si="4"/>
        <v>93326</v>
      </c>
      <c r="O22" s="8"/>
    </row>
    <row r="23" spans="2:15" ht="11.25" customHeight="1" x14ac:dyDescent="0.25">
      <c r="B23" s="254"/>
      <c r="C23" s="255"/>
      <c r="D23" s="255"/>
      <c r="E23" s="256"/>
      <c r="F23" s="260"/>
      <c r="G23" s="260"/>
      <c r="H23" s="260"/>
      <c r="I23" s="260"/>
      <c r="J23" s="260"/>
      <c r="K23" s="260"/>
      <c r="L23" s="260"/>
      <c r="M23" s="258"/>
      <c r="N23" s="259"/>
      <c r="O23" s="8"/>
    </row>
    <row r="24" spans="2:15" ht="14.25" customHeight="1" x14ac:dyDescent="0.25">
      <c r="B24" s="420" t="s">
        <v>47</v>
      </c>
      <c r="C24" s="417"/>
      <c r="D24" s="417"/>
      <c r="E24" s="250"/>
      <c r="F24" s="261"/>
      <c r="G24" s="261"/>
      <c r="H24" s="261"/>
      <c r="I24" s="261"/>
      <c r="J24" s="261"/>
      <c r="K24" s="261"/>
      <c r="L24" s="261"/>
      <c r="M24" s="250">
        <v>-19326</v>
      </c>
      <c r="N24" s="251">
        <v>-19649</v>
      </c>
      <c r="O24" s="8"/>
    </row>
    <row r="25" spans="2:15" ht="14.25" customHeight="1" x14ac:dyDescent="0.25">
      <c r="B25" s="420" t="s">
        <v>48</v>
      </c>
      <c r="C25" s="417"/>
      <c r="D25" s="427"/>
      <c r="E25" s="261"/>
      <c r="F25" s="261"/>
      <c r="G25" s="261"/>
      <c r="H25" s="261"/>
      <c r="I25" s="261"/>
      <c r="J25" s="261"/>
      <c r="K25" s="261"/>
      <c r="L25" s="261"/>
      <c r="M25" s="250">
        <v>-1535</v>
      </c>
      <c r="N25" s="251">
        <v>-2283</v>
      </c>
      <c r="O25" s="8"/>
    </row>
    <row r="26" spans="2:15" ht="14.25" customHeight="1" x14ac:dyDescent="0.25">
      <c r="B26" s="413" t="s">
        <v>49</v>
      </c>
      <c r="C26" s="414"/>
      <c r="D26" s="415"/>
      <c r="E26" s="261"/>
      <c r="F26" s="261"/>
      <c r="G26" s="261"/>
      <c r="H26" s="261"/>
      <c r="I26" s="261"/>
      <c r="J26" s="261"/>
      <c r="K26" s="261"/>
      <c r="L26" s="261"/>
      <c r="M26" s="258">
        <f>SUM(M22:M25)</f>
        <v>83967</v>
      </c>
      <c r="N26" s="259">
        <f>SUM(N22:N25)</f>
        <v>71394</v>
      </c>
      <c r="O26" s="8"/>
    </row>
    <row r="27" spans="2:15" ht="14.25" customHeight="1" x14ac:dyDescent="0.25">
      <c r="B27" s="420" t="s">
        <v>111</v>
      </c>
      <c r="C27" s="417"/>
      <c r="D27" s="427"/>
      <c r="E27" s="261"/>
      <c r="F27" s="261"/>
      <c r="G27" s="261"/>
      <c r="H27" s="261"/>
      <c r="I27" s="261"/>
      <c r="J27" s="261"/>
      <c r="K27" s="261"/>
      <c r="L27" s="261"/>
      <c r="M27" s="250">
        <v>-5408</v>
      </c>
      <c r="N27" s="251">
        <v>-2293</v>
      </c>
      <c r="O27" s="8"/>
    </row>
    <row r="28" spans="2:15" ht="14.25" customHeight="1" x14ac:dyDescent="0.25">
      <c r="B28" s="420" t="s">
        <v>50</v>
      </c>
      <c r="C28" s="417"/>
      <c r="D28" s="427"/>
      <c r="E28" s="261"/>
      <c r="F28" s="261"/>
      <c r="G28" s="261"/>
      <c r="H28" s="261"/>
      <c r="I28" s="261"/>
      <c r="J28" s="261"/>
      <c r="K28" s="261"/>
      <c r="L28" s="261"/>
      <c r="M28" s="250">
        <v>-134</v>
      </c>
      <c r="N28" s="251">
        <v>-1589</v>
      </c>
      <c r="O28" s="8"/>
    </row>
    <row r="29" spans="2:15" ht="14.25" customHeight="1" x14ac:dyDescent="0.25">
      <c r="B29" s="413" t="s">
        <v>51</v>
      </c>
      <c r="C29" s="414"/>
      <c r="D29" s="415"/>
      <c r="E29" s="261"/>
      <c r="F29" s="261"/>
      <c r="G29" s="261"/>
      <c r="H29" s="261"/>
      <c r="I29" s="261"/>
      <c r="J29" s="261"/>
      <c r="K29" s="261"/>
      <c r="L29" s="261"/>
      <c r="M29" s="258">
        <f>SUM(M26:M28)</f>
        <v>78425</v>
      </c>
      <c r="N29" s="259">
        <f>SUM(N26:N28)</f>
        <v>67512</v>
      </c>
      <c r="O29" s="8"/>
    </row>
    <row r="30" spans="2:15" ht="14.25" customHeight="1" x14ac:dyDescent="0.25">
      <c r="B30" s="424" t="s">
        <v>112</v>
      </c>
      <c r="C30" s="425"/>
      <c r="D30" s="426"/>
      <c r="E30" s="261"/>
      <c r="F30" s="261"/>
      <c r="G30" s="261"/>
      <c r="H30" s="261"/>
      <c r="I30" s="261"/>
      <c r="J30" s="261"/>
      <c r="K30" s="261"/>
      <c r="L30" s="261"/>
      <c r="M30" s="262">
        <v>-22256</v>
      </c>
      <c r="N30" s="263">
        <v>-20085</v>
      </c>
      <c r="O30" s="8"/>
    </row>
    <row r="31" spans="2:15" ht="11.25" customHeight="1" x14ac:dyDescent="0.25">
      <c r="B31" s="420"/>
      <c r="C31" s="417"/>
      <c r="D31" s="427"/>
      <c r="E31" s="261"/>
      <c r="F31" s="261"/>
      <c r="G31" s="261"/>
      <c r="H31" s="261"/>
      <c r="I31" s="261"/>
      <c r="J31" s="261"/>
      <c r="K31" s="261"/>
      <c r="L31" s="261"/>
      <c r="M31" s="264"/>
      <c r="N31" s="265"/>
      <c r="O31" s="8"/>
    </row>
    <row r="32" spans="2:15" ht="14.25" customHeight="1" thickBot="1" x14ac:dyDescent="0.3">
      <c r="B32" s="428" t="s">
        <v>29</v>
      </c>
      <c r="C32" s="429"/>
      <c r="D32" s="429"/>
      <c r="E32" s="266"/>
      <c r="F32" s="267"/>
      <c r="G32" s="267"/>
      <c r="H32" s="267"/>
      <c r="I32" s="267"/>
      <c r="J32" s="267"/>
      <c r="K32" s="267"/>
      <c r="L32" s="267"/>
      <c r="M32" s="266">
        <f>SUM(M29:M31)</f>
        <v>56169</v>
      </c>
      <c r="N32" s="268">
        <f>SUM(N29:N31)</f>
        <v>47427</v>
      </c>
      <c r="O32" s="8"/>
    </row>
    <row r="33" spans="2:15" ht="15" customHeight="1" thickTop="1" x14ac:dyDescent="0.25">
      <c r="B33" s="269"/>
      <c r="C33" s="201"/>
      <c r="D33" s="201"/>
      <c r="E33" s="206"/>
      <c r="F33" s="206"/>
      <c r="G33" s="206"/>
      <c r="H33" s="270"/>
      <c r="I33" s="270"/>
      <c r="J33" s="270"/>
      <c r="K33" s="270"/>
      <c r="L33" s="270"/>
      <c r="M33" s="270"/>
      <c r="N33" s="270"/>
      <c r="O33" s="8"/>
    </row>
    <row r="34" spans="2:15" ht="15" customHeight="1" x14ac:dyDescent="0.25">
      <c r="B34" s="269"/>
      <c r="C34" s="201"/>
      <c r="D34" s="201"/>
      <c r="E34" s="206"/>
      <c r="F34" s="206"/>
      <c r="G34" s="206"/>
      <c r="H34" s="270"/>
      <c r="I34" s="270"/>
      <c r="J34" s="270"/>
      <c r="K34" s="270"/>
      <c r="L34" s="270"/>
      <c r="M34" s="270"/>
      <c r="N34" s="270"/>
      <c r="O34" s="8"/>
    </row>
    <row r="35" spans="2:15" ht="15" customHeight="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ht="15" customHeight="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2:15" ht="15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5" ht="15" customHeight="1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5" ht="15" customHeight="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2:15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5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5" x14ac:dyDescent="0.25">
      <c r="B44" s="8"/>
      <c r="C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2:15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15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</sheetData>
  <mergeCells count="29">
    <mergeCell ref="K3:L3"/>
    <mergeCell ref="M3:N3"/>
    <mergeCell ref="B1:I1"/>
    <mergeCell ref="B2:C2"/>
    <mergeCell ref="B3:C3"/>
    <mergeCell ref="E3:F3"/>
    <mergeCell ref="G3:H4"/>
    <mergeCell ref="I3:J3"/>
    <mergeCell ref="B22:D22"/>
    <mergeCell ref="B7:D7"/>
    <mergeCell ref="B8:D8"/>
    <mergeCell ref="B9:D9"/>
    <mergeCell ref="B11:D11"/>
    <mergeCell ref="B12:D12"/>
    <mergeCell ref="B13:D13"/>
    <mergeCell ref="B15:D15"/>
    <mergeCell ref="B16:D16"/>
    <mergeCell ref="B19:D19"/>
    <mergeCell ref="B21:D21"/>
    <mergeCell ref="B18:D18"/>
    <mergeCell ref="B30:D30"/>
    <mergeCell ref="B31:D31"/>
    <mergeCell ref="B32:D32"/>
    <mergeCell ref="B24:D24"/>
    <mergeCell ref="B25:D25"/>
    <mergeCell ref="B26:D26"/>
    <mergeCell ref="B27:D27"/>
    <mergeCell ref="B28:D28"/>
    <mergeCell ref="B29:D2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&amp;CPage 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A39"/>
  <sheetViews>
    <sheetView zoomScale="140" zoomScaleNormal="140" workbookViewId="0"/>
  </sheetViews>
  <sheetFormatPr defaultColWidth="9.109375" defaultRowHeight="13.8" x14ac:dyDescent="0.25"/>
  <cols>
    <col min="1" max="1" width="2.6640625" style="3" customWidth="1"/>
    <col min="2" max="2" width="1.44140625" style="3" customWidth="1"/>
    <col min="3" max="3" width="20" style="3" customWidth="1"/>
    <col min="4" max="4" width="1.44140625" style="3" customWidth="1"/>
    <col min="5" max="6" width="7.88671875" style="274" customWidth="1"/>
    <col min="7" max="7" width="1.44140625" style="274" customWidth="1"/>
    <col min="8" max="8" width="7.109375" style="274" customWidth="1"/>
    <col min="9" max="9" width="1.44140625" style="274" customWidth="1"/>
    <col min="10" max="10" width="7.109375" style="274" customWidth="1"/>
    <col min="11" max="11" width="1.44140625" style="274" customWidth="1"/>
    <col min="12" max="13" width="8.5546875" style="274" customWidth="1"/>
    <col min="14" max="15" width="10" style="274" customWidth="1"/>
    <col min="16" max="16" width="1.44140625" style="274" customWidth="1"/>
    <col min="17" max="17" width="7.109375" style="274" customWidth="1"/>
    <col min="18" max="18" width="1.44140625" style="274" customWidth="1"/>
    <col min="19" max="19" width="11.44140625" style="274" customWidth="1"/>
    <col min="20" max="20" width="1.44140625" style="274" customWidth="1"/>
    <col min="21" max="21" width="8.5546875" style="274" customWidth="1"/>
    <col min="22" max="22" width="1.44140625" style="274" customWidth="1"/>
    <col min="23" max="23" width="8.5546875" style="275" bestFit="1" customWidth="1"/>
    <col min="24" max="27" width="9.109375" style="274"/>
    <col min="28" max="16384" width="9.109375" style="3"/>
  </cols>
  <sheetData>
    <row r="1" spans="2:27" ht="15" customHeight="1" x14ac:dyDescent="0.25">
      <c r="B1" s="377" t="s">
        <v>167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</row>
    <row r="2" spans="2:27" ht="15" customHeight="1" thickBot="1" x14ac:dyDescent="0.3">
      <c r="B2" s="400"/>
      <c r="C2" s="400"/>
      <c r="D2" s="12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2:27" s="286" customFormat="1" ht="25.5" customHeight="1" x14ac:dyDescent="0.15">
      <c r="B3" s="447" t="s">
        <v>59</v>
      </c>
      <c r="C3" s="448"/>
      <c r="D3" s="277"/>
      <c r="E3" s="278"/>
      <c r="F3" s="279" t="s">
        <v>74</v>
      </c>
      <c r="G3" s="280"/>
      <c r="H3" s="279" t="s">
        <v>75</v>
      </c>
      <c r="I3" s="280"/>
      <c r="J3" s="279" t="s">
        <v>76</v>
      </c>
      <c r="K3" s="281"/>
      <c r="L3" s="449" t="s">
        <v>77</v>
      </c>
      <c r="M3" s="449"/>
      <c r="N3" s="449"/>
      <c r="O3" s="449"/>
      <c r="P3" s="280"/>
      <c r="Q3" s="282" t="s">
        <v>78</v>
      </c>
      <c r="R3" s="283"/>
      <c r="S3" s="282" t="s">
        <v>118</v>
      </c>
      <c r="T3" s="283"/>
      <c r="U3" s="282" t="s">
        <v>119</v>
      </c>
      <c r="V3" s="283"/>
      <c r="W3" s="284" t="s">
        <v>120</v>
      </c>
      <c r="X3" s="285"/>
      <c r="Y3" s="285"/>
      <c r="Z3" s="285"/>
      <c r="AA3" s="285"/>
    </row>
    <row r="4" spans="2:27" s="286" customFormat="1" ht="60" customHeight="1" x14ac:dyDescent="0.15">
      <c r="B4" s="287"/>
      <c r="C4" s="288"/>
      <c r="D4" s="288"/>
      <c r="E4" s="289" t="s">
        <v>113</v>
      </c>
      <c r="F4" s="290"/>
      <c r="G4" s="290"/>
      <c r="H4" s="290"/>
      <c r="I4" s="290"/>
      <c r="J4" s="290"/>
      <c r="K4" s="291"/>
      <c r="L4" s="292" t="s">
        <v>114</v>
      </c>
      <c r="M4" s="292" t="s">
        <v>115</v>
      </c>
      <c r="N4" s="292" t="s">
        <v>116</v>
      </c>
      <c r="O4" s="293" t="s">
        <v>117</v>
      </c>
      <c r="P4" s="290"/>
      <c r="Q4" s="290"/>
      <c r="R4" s="290"/>
      <c r="S4" s="290"/>
      <c r="T4" s="290"/>
      <c r="U4" s="290"/>
      <c r="V4" s="290"/>
      <c r="W4" s="294"/>
      <c r="X4" s="285"/>
      <c r="Y4" s="285"/>
      <c r="Z4" s="285"/>
      <c r="AA4" s="285"/>
    </row>
    <row r="5" spans="2:27" s="286" customFormat="1" ht="9" customHeight="1" thickBot="1" x14ac:dyDescent="0.2">
      <c r="B5" s="295"/>
      <c r="C5" s="296"/>
      <c r="D5" s="296"/>
      <c r="E5" s="297"/>
      <c r="F5" s="297"/>
      <c r="G5" s="297"/>
      <c r="H5" s="297"/>
      <c r="I5" s="297"/>
      <c r="J5" s="298"/>
      <c r="K5" s="298"/>
      <c r="L5" s="298"/>
      <c r="M5" s="298"/>
      <c r="N5" s="298"/>
      <c r="O5" s="297"/>
      <c r="P5" s="297"/>
      <c r="Q5" s="297"/>
      <c r="R5" s="297"/>
      <c r="S5" s="297"/>
      <c r="T5" s="297"/>
      <c r="U5" s="297"/>
      <c r="V5" s="297"/>
      <c r="W5" s="299"/>
      <c r="X5" s="285"/>
      <c r="Y5" s="285"/>
      <c r="Z5" s="285"/>
      <c r="AA5" s="285"/>
    </row>
    <row r="6" spans="2:27" s="305" customFormat="1" ht="11.25" customHeight="1" x14ac:dyDescent="0.15">
      <c r="B6" s="443" t="s">
        <v>121</v>
      </c>
      <c r="C6" s="444"/>
      <c r="D6" s="300"/>
      <c r="E6" s="301">
        <v>81513689</v>
      </c>
      <c r="F6" s="301">
        <v>86944</v>
      </c>
      <c r="G6" s="301"/>
      <c r="H6" s="301">
        <v>46144</v>
      </c>
      <c r="I6" s="301"/>
      <c r="J6" s="302">
        <v>1087328</v>
      </c>
      <c r="K6" s="301"/>
      <c r="L6" s="302">
        <v>-77111</v>
      </c>
      <c r="M6" s="302">
        <v>-2055</v>
      </c>
      <c r="N6" s="302">
        <v>-22945</v>
      </c>
      <c r="O6" s="302">
        <v>2031</v>
      </c>
      <c r="P6" s="301"/>
      <c r="Q6" s="301">
        <v>-155534</v>
      </c>
      <c r="R6" s="301"/>
      <c r="S6" s="301">
        <v>964802</v>
      </c>
      <c r="T6" s="301"/>
      <c r="U6" s="301">
        <v>793</v>
      </c>
      <c r="V6" s="301"/>
      <c r="W6" s="303">
        <f>S6+U6</f>
        <v>965595</v>
      </c>
      <c r="X6" s="304"/>
      <c r="Y6" s="304"/>
      <c r="Z6" s="304"/>
      <c r="AA6" s="304"/>
    </row>
    <row r="7" spans="2:27" s="286" customFormat="1" ht="11.25" customHeight="1" x14ac:dyDescent="0.15">
      <c r="B7" s="306"/>
      <c r="C7" s="307"/>
      <c r="D7" s="308"/>
      <c r="E7" s="309"/>
      <c r="F7" s="309"/>
      <c r="G7" s="310"/>
      <c r="H7" s="309"/>
      <c r="I7" s="310"/>
      <c r="J7" s="310"/>
      <c r="K7" s="310"/>
      <c r="L7" s="310"/>
      <c r="M7" s="310"/>
      <c r="N7" s="310"/>
      <c r="O7" s="310"/>
      <c r="P7" s="310"/>
      <c r="Q7" s="309"/>
      <c r="R7" s="310"/>
      <c r="S7" s="309"/>
      <c r="T7" s="310"/>
      <c r="U7" s="309"/>
      <c r="V7" s="310"/>
      <c r="W7" s="311"/>
      <c r="X7" s="285"/>
      <c r="Y7" s="285"/>
      <c r="Z7" s="285"/>
      <c r="AA7" s="285"/>
    </row>
    <row r="8" spans="2:27" s="286" customFormat="1" ht="11.25" customHeight="1" x14ac:dyDescent="0.15">
      <c r="B8" s="445" t="s">
        <v>122</v>
      </c>
      <c r="C8" s="446"/>
      <c r="D8" s="312"/>
      <c r="E8" s="313"/>
      <c r="F8" s="313"/>
      <c r="G8" s="310"/>
      <c r="H8" s="310"/>
      <c r="I8" s="310"/>
      <c r="J8" s="310">
        <v>110358</v>
      </c>
      <c r="K8" s="310"/>
      <c r="L8" s="313">
        <v>44812</v>
      </c>
      <c r="M8" s="313">
        <v>690</v>
      </c>
      <c r="N8" s="313">
        <v>-4363</v>
      </c>
      <c r="O8" s="313">
        <v>4406</v>
      </c>
      <c r="P8" s="310"/>
      <c r="Q8" s="313"/>
      <c r="R8" s="310"/>
      <c r="S8" s="313">
        <v>155903</v>
      </c>
      <c r="T8" s="310"/>
      <c r="U8" s="310">
        <v>193</v>
      </c>
      <c r="V8" s="310"/>
      <c r="W8" s="303">
        <f>S8+U8</f>
        <v>156096</v>
      </c>
      <c r="X8" s="285"/>
      <c r="Y8" s="285"/>
      <c r="Z8" s="285"/>
      <c r="AA8" s="285"/>
    </row>
    <row r="9" spans="2:27" s="286" customFormat="1" ht="11.25" customHeight="1" x14ac:dyDescent="0.15">
      <c r="B9" s="441" t="s">
        <v>123</v>
      </c>
      <c r="C9" s="442"/>
      <c r="D9" s="288"/>
      <c r="E9" s="310"/>
      <c r="F9" s="310"/>
      <c r="G9" s="310"/>
      <c r="H9" s="309"/>
      <c r="I9" s="310"/>
      <c r="J9" s="309"/>
      <c r="K9" s="310"/>
      <c r="L9" s="314"/>
      <c r="M9" s="314"/>
      <c r="N9" s="314"/>
      <c r="O9" s="314"/>
      <c r="P9" s="310"/>
      <c r="Q9" s="310"/>
      <c r="R9" s="310"/>
      <c r="S9" s="314"/>
      <c r="T9" s="310"/>
      <c r="U9" s="309"/>
      <c r="V9" s="310"/>
      <c r="W9" s="315"/>
      <c r="X9" s="285"/>
      <c r="Y9" s="285"/>
      <c r="Z9" s="285"/>
      <c r="AA9" s="285"/>
    </row>
    <row r="10" spans="2:27" s="286" customFormat="1" ht="11.25" customHeight="1" x14ac:dyDescent="0.15">
      <c r="B10" s="316"/>
      <c r="C10" s="317" t="s">
        <v>124</v>
      </c>
      <c r="D10" s="317"/>
      <c r="E10" s="314"/>
      <c r="F10" s="314"/>
      <c r="G10" s="310"/>
      <c r="H10" s="314"/>
      <c r="I10" s="310"/>
      <c r="J10" s="309">
        <v>-36275</v>
      </c>
      <c r="K10" s="310"/>
      <c r="L10" s="314"/>
      <c r="M10" s="314"/>
      <c r="N10" s="314"/>
      <c r="O10" s="314"/>
      <c r="P10" s="310"/>
      <c r="Q10" s="309"/>
      <c r="R10" s="310"/>
      <c r="S10" s="314">
        <v>-36275</v>
      </c>
      <c r="T10" s="310"/>
      <c r="U10" s="309">
        <v>-155</v>
      </c>
      <c r="V10" s="310"/>
      <c r="W10" s="303">
        <v>-36430</v>
      </c>
      <c r="X10" s="285"/>
      <c r="Y10" s="285"/>
      <c r="Z10" s="285"/>
      <c r="AA10" s="285"/>
    </row>
    <row r="11" spans="2:27" s="286" customFormat="1" ht="11.25" customHeight="1" x14ac:dyDescent="0.15">
      <c r="B11" s="316"/>
      <c r="C11" s="317" t="s">
        <v>125</v>
      </c>
      <c r="D11" s="317"/>
      <c r="E11" s="314"/>
      <c r="F11" s="314"/>
      <c r="G11" s="310"/>
      <c r="H11" s="310"/>
      <c r="I11" s="310"/>
      <c r="J11" s="309"/>
      <c r="K11" s="310"/>
      <c r="L11" s="314"/>
      <c r="M11" s="314"/>
      <c r="N11" s="314"/>
      <c r="O11" s="314"/>
      <c r="P11" s="310"/>
      <c r="Q11" s="309"/>
      <c r="R11" s="310"/>
      <c r="S11" s="314"/>
      <c r="T11" s="310"/>
      <c r="U11" s="314"/>
      <c r="V11" s="310"/>
      <c r="W11" s="315">
        <f t="shared" ref="W11:W16" si="0">S11+U11</f>
        <v>0</v>
      </c>
      <c r="X11" s="285"/>
      <c r="Y11" s="285"/>
      <c r="Z11" s="285"/>
      <c r="AA11" s="285"/>
    </row>
    <row r="12" spans="2:27" s="286" customFormat="1" ht="11.25" customHeight="1" x14ac:dyDescent="0.15">
      <c r="B12" s="316"/>
      <c r="C12" s="317" t="s">
        <v>126</v>
      </c>
      <c r="D12" s="317"/>
      <c r="E12" s="314"/>
      <c r="F12" s="314"/>
      <c r="G12" s="310"/>
      <c r="H12" s="314">
        <v>-2722</v>
      </c>
      <c r="I12" s="310"/>
      <c r="J12" s="309"/>
      <c r="K12" s="310"/>
      <c r="L12" s="314"/>
      <c r="M12" s="314"/>
      <c r="N12" s="314"/>
      <c r="O12" s="314"/>
      <c r="P12" s="310"/>
      <c r="Q12" s="314"/>
      <c r="R12" s="310"/>
      <c r="S12" s="314">
        <v>-2722</v>
      </c>
      <c r="T12" s="310"/>
      <c r="U12" s="310"/>
      <c r="V12" s="310"/>
      <c r="W12" s="318">
        <f t="shared" si="0"/>
        <v>-2722</v>
      </c>
      <c r="X12" s="285"/>
      <c r="Y12" s="285"/>
      <c r="Z12" s="285"/>
      <c r="AA12" s="285"/>
    </row>
    <row r="13" spans="2:27" s="286" customFormat="1" ht="11.25" customHeight="1" x14ac:dyDescent="0.15">
      <c r="B13" s="316"/>
      <c r="C13" s="319" t="s">
        <v>127</v>
      </c>
      <c r="D13" s="317"/>
      <c r="E13" s="314">
        <v>59000</v>
      </c>
      <c r="F13" s="314"/>
      <c r="G13" s="310"/>
      <c r="H13" s="310">
        <v>-227</v>
      </c>
      <c r="I13" s="310"/>
      <c r="J13" s="314"/>
      <c r="K13" s="310"/>
      <c r="L13" s="314"/>
      <c r="M13" s="314"/>
      <c r="N13" s="314"/>
      <c r="O13" s="314"/>
      <c r="P13" s="310"/>
      <c r="Q13" s="310">
        <v>1650</v>
      </c>
      <c r="R13" s="310"/>
      <c r="S13" s="314">
        <v>1423</v>
      </c>
      <c r="T13" s="310"/>
      <c r="U13" s="314"/>
      <c r="V13" s="310"/>
      <c r="W13" s="303">
        <f t="shared" si="0"/>
        <v>1423</v>
      </c>
      <c r="X13" s="285"/>
      <c r="Y13" s="285"/>
      <c r="Z13" s="285"/>
      <c r="AA13" s="285"/>
    </row>
    <row r="14" spans="2:27" s="286" customFormat="1" ht="11.25" customHeight="1" x14ac:dyDescent="0.15">
      <c r="B14" s="316"/>
      <c r="C14" s="317" t="s">
        <v>128</v>
      </c>
      <c r="D14" s="317"/>
      <c r="E14" s="314">
        <v>-2653845</v>
      </c>
      <c r="F14" s="314"/>
      <c r="G14" s="310"/>
      <c r="H14" s="314"/>
      <c r="I14" s="310"/>
      <c r="J14" s="310"/>
      <c r="K14" s="310"/>
      <c r="L14" s="314"/>
      <c r="M14" s="314"/>
      <c r="N14" s="314"/>
      <c r="O14" s="314"/>
      <c r="P14" s="310"/>
      <c r="Q14" s="314">
        <v>-70582</v>
      </c>
      <c r="R14" s="310"/>
      <c r="S14" s="314">
        <v>-70582</v>
      </c>
      <c r="T14" s="310"/>
      <c r="U14" s="310"/>
      <c r="V14" s="310"/>
      <c r="W14" s="311">
        <f t="shared" si="0"/>
        <v>-70582</v>
      </c>
      <c r="X14" s="285"/>
      <c r="Y14" s="285"/>
      <c r="Z14" s="285"/>
      <c r="AA14" s="285"/>
    </row>
    <row r="15" spans="2:27" s="286" customFormat="1" ht="11.25" customHeight="1" x14ac:dyDescent="0.15">
      <c r="B15" s="316"/>
      <c r="C15" s="317" t="s">
        <v>26</v>
      </c>
      <c r="D15" s="317"/>
      <c r="E15" s="314"/>
      <c r="F15" s="314"/>
      <c r="G15" s="310"/>
      <c r="H15" s="314"/>
      <c r="I15" s="310"/>
      <c r="J15" s="314"/>
      <c r="K15" s="310"/>
      <c r="L15" s="314"/>
      <c r="M15" s="314"/>
      <c r="N15" s="314"/>
      <c r="O15" s="314"/>
      <c r="P15" s="310"/>
      <c r="Q15" s="310"/>
      <c r="R15" s="310"/>
      <c r="S15" s="310">
        <v>0</v>
      </c>
      <c r="T15" s="310"/>
      <c r="U15" s="309"/>
      <c r="V15" s="310"/>
      <c r="W15" s="311">
        <f t="shared" si="0"/>
        <v>0</v>
      </c>
      <c r="X15" s="285"/>
      <c r="Y15" s="285"/>
      <c r="Z15" s="285"/>
      <c r="AA15" s="285"/>
    </row>
    <row r="16" spans="2:27" s="286" customFormat="1" ht="11.25" customHeight="1" x14ac:dyDescent="0.15">
      <c r="B16" s="437" t="s">
        <v>129</v>
      </c>
      <c r="C16" s="438"/>
      <c r="D16" s="288"/>
      <c r="E16" s="310"/>
      <c r="F16" s="310"/>
      <c r="G16" s="310"/>
      <c r="H16" s="314"/>
      <c r="I16" s="310"/>
      <c r="J16" s="320"/>
      <c r="K16" s="310"/>
      <c r="L16" s="320"/>
      <c r="M16" s="314"/>
      <c r="N16" s="314"/>
      <c r="O16" s="314"/>
      <c r="P16" s="310"/>
      <c r="Q16" s="314"/>
      <c r="R16" s="310"/>
      <c r="S16" s="314">
        <v>0</v>
      </c>
      <c r="T16" s="310"/>
      <c r="U16" s="309"/>
      <c r="V16" s="310"/>
      <c r="W16" s="311">
        <f t="shared" si="0"/>
        <v>0</v>
      </c>
      <c r="X16" s="285"/>
      <c r="Y16" s="285"/>
      <c r="Z16" s="285"/>
      <c r="AA16" s="285"/>
    </row>
    <row r="17" spans="2:27" s="286" customFormat="1" ht="11.25" customHeight="1" x14ac:dyDescent="0.15">
      <c r="B17" s="321"/>
      <c r="C17" s="322"/>
      <c r="D17" s="308"/>
      <c r="E17" s="309"/>
      <c r="F17" s="309"/>
      <c r="G17" s="310"/>
      <c r="H17" s="310"/>
      <c r="I17" s="310"/>
      <c r="J17" s="323"/>
      <c r="K17" s="310"/>
      <c r="L17" s="323"/>
      <c r="M17" s="310"/>
      <c r="N17" s="310"/>
      <c r="O17" s="310"/>
      <c r="P17" s="310"/>
      <c r="Q17" s="310"/>
      <c r="R17" s="310"/>
      <c r="S17" s="310"/>
      <c r="T17" s="310"/>
      <c r="U17" s="309"/>
      <c r="V17" s="310"/>
      <c r="W17" s="311"/>
      <c r="X17" s="285"/>
      <c r="Y17" s="285"/>
      <c r="Z17" s="285"/>
      <c r="AA17" s="285"/>
    </row>
    <row r="18" spans="2:27" s="286" customFormat="1" ht="11.25" customHeight="1" thickBot="1" x14ac:dyDescent="0.2">
      <c r="B18" s="439" t="s">
        <v>180</v>
      </c>
      <c r="C18" s="440"/>
      <c r="D18" s="296"/>
      <c r="E18" s="324">
        <f>SUM(E6:E16)</f>
        <v>78918844</v>
      </c>
      <c r="F18" s="324">
        <f>SUM(F6:F16)</f>
        <v>86944</v>
      </c>
      <c r="G18" s="324"/>
      <c r="H18" s="324">
        <f>SUM(H6:H17)</f>
        <v>43195</v>
      </c>
      <c r="I18" s="324"/>
      <c r="J18" s="324">
        <f>SUM(J6:J17)</f>
        <v>1161411</v>
      </c>
      <c r="K18" s="324"/>
      <c r="L18" s="324">
        <f>SUM(L6:L17)</f>
        <v>-32299</v>
      </c>
      <c r="M18" s="324">
        <f>SUM(M6:M17)</f>
        <v>-1365</v>
      </c>
      <c r="N18" s="324">
        <f>SUM(N6:N17)</f>
        <v>-27308</v>
      </c>
      <c r="O18" s="324">
        <f>SUM(O6:O17)</f>
        <v>6437</v>
      </c>
      <c r="P18" s="324"/>
      <c r="Q18" s="324">
        <f>SUM(Q6:Q17)</f>
        <v>-224466</v>
      </c>
      <c r="R18" s="324"/>
      <c r="S18" s="324">
        <f>SUM(S6:S17)</f>
        <v>1012549</v>
      </c>
      <c r="T18" s="324"/>
      <c r="U18" s="324">
        <f>SUM(U6:U17)</f>
        <v>831</v>
      </c>
      <c r="V18" s="324"/>
      <c r="W18" s="325">
        <f>S18+U18</f>
        <v>1013380</v>
      </c>
      <c r="X18" s="285"/>
      <c r="Y18" s="285"/>
      <c r="Z18" s="285"/>
      <c r="AA18" s="285"/>
    </row>
    <row r="19" spans="2:27" s="286" customFormat="1" ht="11.25" customHeight="1" thickBot="1" x14ac:dyDescent="0.2">
      <c r="B19" s="326"/>
      <c r="C19" s="327"/>
      <c r="D19" s="327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9"/>
      <c r="X19" s="285"/>
      <c r="Y19" s="285"/>
      <c r="Z19" s="285"/>
      <c r="AA19" s="285"/>
    </row>
    <row r="20" spans="2:27" s="305" customFormat="1" ht="11.25" customHeight="1" x14ac:dyDescent="0.15">
      <c r="B20" s="443" t="s">
        <v>130</v>
      </c>
      <c r="C20" s="444"/>
      <c r="D20" s="300"/>
      <c r="E20" s="301">
        <v>78918844</v>
      </c>
      <c r="F20" s="301">
        <v>86944</v>
      </c>
      <c r="G20" s="301"/>
      <c r="H20" s="302">
        <v>43195</v>
      </c>
      <c r="I20" s="301"/>
      <c r="J20" s="301">
        <v>1161411</v>
      </c>
      <c r="K20" s="301"/>
      <c r="L20" s="302">
        <v>-32299</v>
      </c>
      <c r="M20" s="302">
        <v>-1365</v>
      </c>
      <c r="N20" s="302">
        <v>-27308</v>
      </c>
      <c r="O20" s="302">
        <v>6437</v>
      </c>
      <c r="P20" s="301"/>
      <c r="Q20" s="301">
        <v>-224466</v>
      </c>
      <c r="R20" s="301"/>
      <c r="S20" s="301">
        <v>1012549</v>
      </c>
      <c r="T20" s="301"/>
      <c r="U20" s="301">
        <v>831</v>
      </c>
      <c r="V20" s="301"/>
      <c r="W20" s="303">
        <f>SUM(S20:U20)</f>
        <v>1013380</v>
      </c>
      <c r="X20" s="304"/>
      <c r="Y20" s="304"/>
      <c r="Z20" s="304"/>
      <c r="AA20" s="304"/>
    </row>
    <row r="21" spans="2:27" s="286" customFormat="1" ht="11.25" customHeight="1" x14ac:dyDescent="0.15">
      <c r="B21" s="306"/>
      <c r="C21" s="307"/>
      <c r="D21" s="308"/>
      <c r="E21" s="309"/>
      <c r="F21" s="309"/>
      <c r="G21" s="310"/>
      <c r="H21" s="310"/>
      <c r="I21" s="310"/>
      <c r="J21" s="309"/>
      <c r="K21" s="310"/>
      <c r="L21" s="310"/>
      <c r="M21" s="310"/>
      <c r="N21" s="310"/>
      <c r="O21" s="310"/>
      <c r="P21" s="310"/>
      <c r="Q21" s="309"/>
      <c r="R21" s="310"/>
      <c r="S21" s="309"/>
      <c r="T21" s="310"/>
      <c r="U21" s="309"/>
      <c r="V21" s="310"/>
      <c r="W21" s="311"/>
      <c r="X21" s="285"/>
      <c r="Y21" s="285"/>
      <c r="Z21" s="285"/>
      <c r="AA21" s="285"/>
    </row>
    <row r="22" spans="2:27" s="286" customFormat="1" ht="11.25" customHeight="1" x14ac:dyDescent="0.15">
      <c r="B22" s="445" t="s">
        <v>122</v>
      </c>
      <c r="C22" s="446"/>
      <c r="D22" s="312"/>
      <c r="E22" s="313"/>
      <c r="F22" s="313"/>
      <c r="G22" s="310"/>
      <c r="H22" s="310"/>
      <c r="I22" s="310"/>
      <c r="J22" s="313">
        <v>139445</v>
      </c>
      <c r="K22" s="310"/>
      <c r="L22" s="313">
        <v>41927</v>
      </c>
      <c r="M22" s="313">
        <v>1936</v>
      </c>
      <c r="N22" s="313">
        <v>624</v>
      </c>
      <c r="O22" s="313">
        <v>4240</v>
      </c>
      <c r="P22" s="310"/>
      <c r="Q22" s="310"/>
      <c r="R22" s="310"/>
      <c r="S22" s="310">
        <f>SUM(F22:Q22)</f>
        <v>188172</v>
      </c>
      <c r="T22" s="310"/>
      <c r="U22" s="310">
        <v>160</v>
      </c>
      <c r="V22" s="310"/>
      <c r="W22" s="330">
        <f>+S22+U22</f>
        <v>188332</v>
      </c>
      <c r="X22" s="285"/>
      <c r="Y22" s="285"/>
      <c r="Z22" s="285"/>
      <c r="AA22" s="285"/>
    </row>
    <row r="23" spans="2:27" s="286" customFormat="1" ht="11.25" customHeight="1" x14ac:dyDescent="0.15">
      <c r="B23" s="441" t="s">
        <v>123</v>
      </c>
      <c r="C23" s="442"/>
      <c r="D23" s="288"/>
      <c r="E23" s="310"/>
      <c r="F23" s="310"/>
      <c r="G23" s="310"/>
      <c r="H23" s="309"/>
      <c r="I23" s="310"/>
      <c r="J23" s="314"/>
      <c r="K23" s="310"/>
      <c r="L23" s="314"/>
      <c r="M23" s="314"/>
      <c r="N23" s="314"/>
      <c r="O23" s="314"/>
      <c r="P23" s="310"/>
      <c r="Q23" s="309"/>
      <c r="R23" s="310"/>
      <c r="S23" s="309"/>
      <c r="T23" s="310"/>
      <c r="U23" s="309"/>
      <c r="V23" s="310"/>
      <c r="W23" s="330"/>
      <c r="X23" s="285"/>
      <c r="Y23" s="285"/>
      <c r="Z23" s="285"/>
      <c r="AA23" s="285"/>
    </row>
    <row r="24" spans="2:27" s="286" customFormat="1" ht="11.25" customHeight="1" x14ac:dyDescent="0.15">
      <c r="B24" s="316"/>
      <c r="C24" s="317" t="s">
        <v>124</v>
      </c>
      <c r="D24" s="317"/>
      <c r="E24" s="314"/>
      <c r="F24" s="314"/>
      <c r="G24" s="310"/>
      <c r="H24" s="314"/>
      <c r="I24" s="310"/>
      <c r="J24" s="313">
        <v>-39459</v>
      </c>
      <c r="K24" s="310"/>
      <c r="L24" s="314"/>
      <c r="M24" s="314"/>
      <c r="N24" s="314"/>
      <c r="O24" s="314"/>
      <c r="P24" s="310"/>
      <c r="Q24" s="309"/>
      <c r="R24" s="310"/>
      <c r="S24" s="309">
        <f t="shared" ref="S24:S30" si="1">SUM(F24:Q24)</f>
        <v>-39459</v>
      </c>
      <c r="T24" s="310"/>
      <c r="U24" s="314">
        <v>-174</v>
      </c>
      <c r="V24" s="310"/>
      <c r="W24" s="330">
        <f t="shared" ref="W24:W30" si="2">+S24+U24</f>
        <v>-39633</v>
      </c>
      <c r="X24" s="285"/>
      <c r="Y24" s="285"/>
      <c r="Z24" s="285"/>
      <c r="AA24" s="285"/>
    </row>
    <row r="25" spans="2:27" s="286" customFormat="1" ht="11.25" customHeight="1" x14ac:dyDescent="0.15">
      <c r="B25" s="316"/>
      <c r="C25" s="317" t="s">
        <v>125</v>
      </c>
      <c r="D25" s="317"/>
      <c r="E25" s="314"/>
      <c r="F25" s="314"/>
      <c r="G25" s="310"/>
      <c r="H25" s="314"/>
      <c r="I25" s="310"/>
      <c r="J25" s="310"/>
      <c r="K25" s="310"/>
      <c r="L25" s="314"/>
      <c r="M25" s="314"/>
      <c r="N25" s="314"/>
      <c r="O25" s="314"/>
      <c r="P25" s="310"/>
      <c r="Q25" s="314"/>
      <c r="R25" s="310"/>
      <c r="S25" s="314">
        <f t="shared" si="1"/>
        <v>0</v>
      </c>
      <c r="T25" s="310"/>
      <c r="U25" s="310"/>
      <c r="V25" s="310"/>
      <c r="W25" s="330">
        <f t="shared" si="2"/>
        <v>0</v>
      </c>
      <c r="X25" s="285"/>
      <c r="Y25" s="285"/>
      <c r="Z25" s="285"/>
      <c r="AA25" s="285"/>
    </row>
    <row r="26" spans="2:27" s="286" customFormat="1" ht="11.25" customHeight="1" x14ac:dyDescent="0.15">
      <c r="B26" s="316"/>
      <c r="C26" s="317" t="s">
        <v>126</v>
      </c>
      <c r="D26" s="317"/>
      <c r="E26" s="314"/>
      <c r="F26" s="314"/>
      <c r="G26" s="310"/>
      <c r="H26" s="314">
        <f>-2523+85-35</f>
        <v>-2473</v>
      </c>
      <c r="I26" s="310"/>
      <c r="J26" s="309"/>
      <c r="K26" s="310"/>
      <c r="L26" s="314"/>
      <c r="M26" s="314"/>
      <c r="N26" s="314"/>
      <c r="O26" s="314"/>
      <c r="P26" s="310"/>
      <c r="Q26" s="314"/>
      <c r="R26" s="310"/>
      <c r="S26" s="314">
        <f t="shared" si="1"/>
        <v>-2473</v>
      </c>
      <c r="T26" s="310"/>
      <c r="U26" s="309"/>
      <c r="V26" s="310"/>
      <c r="W26" s="330">
        <f t="shared" si="2"/>
        <v>-2473</v>
      </c>
      <c r="X26" s="285"/>
      <c r="Y26" s="285"/>
      <c r="Z26" s="285"/>
      <c r="AA26" s="285"/>
    </row>
    <row r="27" spans="2:27" s="286" customFormat="1" ht="11.25" customHeight="1" x14ac:dyDescent="0.15">
      <c r="B27" s="316"/>
      <c r="C27" s="319" t="s">
        <v>127</v>
      </c>
      <c r="D27" s="317"/>
      <c r="E27" s="314">
        <f>19300+6000</f>
        <v>25300</v>
      </c>
      <c r="F27" s="314">
        <v>-7944</v>
      </c>
      <c r="G27" s="310"/>
      <c r="H27" s="314">
        <f>-85+35</f>
        <v>-50</v>
      </c>
      <c r="I27" s="310"/>
      <c r="J27" s="309">
        <v>-214252</v>
      </c>
      <c r="K27" s="310"/>
      <c r="L27" s="314"/>
      <c r="M27" s="314"/>
      <c r="N27" s="314"/>
      <c r="O27" s="314"/>
      <c r="P27" s="310"/>
      <c r="Q27" s="310">
        <f>222736+155</f>
        <v>222891</v>
      </c>
      <c r="R27" s="310"/>
      <c r="S27" s="310">
        <f t="shared" si="1"/>
        <v>645</v>
      </c>
      <c r="T27" s="310"/>
      <c r="U27" s="309"/>
      <c r="V27" s="310"/>
      <c r="W27" s="330">
        <f t="shared" si="2"/>
        <v>645</v>
      </c>
      <c r="X27" s="285"/>
      <c r="Y27" s="285"/>
      <c r="Z27" s="285"/>
      <c r="AA27" s="285"/>
    </row>
    <row r="28" spans="2:27" s="286" customFormat="1" ht="11.25" customHeight="1" x14ac:dyDescent="0.15">
      <c r="B28" s="316"/>
      <c r="C28" s="317" t="s">
        <v>128</v>
      </c>
      <c r="D28" s="317"/>
      <c r="E28" s="314">
        <v>-2712513</v>
      </c>
      <c r="F28" s="314"/>
      <c r="G28" s="310"/>
      <c r="H28" s="314"/>
      <c r="I28" s="310"/>
      <c r="J28" s="314"/>
      <c r="K28" s="310"/>
      <c r="L28" s="314"/>
      <c r="M28" s="314"/>
      <c r="N28" s="314"/>
      <c r="O28" s="314"/>
      <c r="P28" s="310"/>
      <c r="Q28" s="309">
        <f>-69866-155</f>
        <v>-70021</v>
      </c>
      <c r="R28" s="310"/>
      <c r="S28" s="309">
        <f t="shared" si="1"/>
        <v>-70021</v>
      </c>
      <c r="T28" s="310"/>
      <c r="U28" s="309"/>
      <c r="V28" s="310"/>
      <c r="W28" s="330">
        <f t="shared" si="2"/>
        <v>-70021</v>
      </c>
      <c r="X28" s="285"/>
      <c r="Y28" s="285"/>
      <c r="Z28" s="285"/>
      <c r="AA28" s="285"/>
    </row>
    <row r="29" spans="2:27" s="286" customFormat="1" ht="11.25" customHeight="1" x14ac:dyDescent="0.15">
      <c r="B29" s="316"/>
      <c r="C29" s="317" t="s">
        <v>26</v>
      </c>
      <c r="D29" s="317"/>
      <c r="E29" s="314"/>
      <c r="F29" s="314"/>
      <c r="G29" s="310"/>
      <c r="H29" s="310">
        <v>-1</v>
      </c>
      <c r="I29" s="310"/>
      <c r="J29" s="310"/>
      <c r="K29" s="310"/>
      <c r="L29" s="314"/>
      <c r="M29" s="314"/>
      <c r="N29" s="314"/>
      <c r="O29" s="314"/>
      <c r="P29" s="310"/>
      <c r="Q29" s="309"/>
      <c r="R29" s="310"/>
      <c r="S29" s="309">
        <f t="shared" si="1"/>
        <v>-1</v>
      </c>
      <c r="T29" s="310"/>
      <c r="U29" s="309"/>
      <c r="V29" s="310"/>
      <c r="W29" s="330">
        <f t="shared" si="2"/>
        <v>-1</v>
      </c>
      <c r="X29" s="285"/>
      <c r="Y29" s="285"/>
      <c r="Z29" s="285"/>
      <c r="AA29" s="285"/>
    </row>
    <row r="30" spans="2:27" s="286" customFormat="1" ht="11.25" customHeight="1" x14ac:dyDescent="0.15">
      <c r="B30" s="437" t="s">
        <v>129</v>
      </c>
      <c r="C30" s="438"/>
      <c r="D30" s="288"/>
      <c r="E30" s="310"/>
      <c r="F30" s="310"/>
      <c r="G30" s="310"/>
      <c r="H30" s="309">
        <v>-167</v>
      </c>
      <c r="I30" s="310"/>
      <c r="J30" s="314"/>
      <c r="K30" s="310"/>
      <c r="L30" s="314"/>
      <c r="M30" s="314"/>
      <c r="N30" s="314"/>
      <c r="O30" s="314"/>
      <c r="P30" s="310"/>
      <c r="Q30" s="309"/>
      <c r="R30" s="310"/>
      <c r="S30" s="314">
        <f t="shared" si="1"/>
        <v>-167</v>
      </c>
      <c r="T30" s="310"/>
      <c r="U30" s="309">
        <v>-333</v>
      </c>
      <c r="V30" s="310"/>
      <c r="W30" s="330">
        <f t="shared" si="2"/>
        <v>-500</v>
      </c>
      <c r="X30" s="285"/>
      <c r="Y30" s="285"/>
      <c r="Z30" s="285"/>
      <c r="AA30" s="285"/>
    </row>
    <row r="31" spans="2:27" s="286" customFormat="1" ht="11.25" customHeight="1" x14ac:dyDescent="0.15">
      <c r="B31" s="321"/>
      <c r="C31" s="322"/>
      <c r="D31" s="308"/>
      <c r="E31" s="309"/>
      <c r="F31" s="309"/>
      <c r="G31" s="310"/>
      <c r="H31" s="309"/>
      <c r="I31" s="310"/>
      <c r="J31" s="310"/>
      <c r="K31" s="310"/>
      <c r="L31" s="310"/>
      <c r="M31" s="310"/>
      <c r="N31" s="310"/>
      <c r="O31" s="310"/>
      <c r="P31" s="310"/>
      <c r="Q31" s="309"/>
      <c r="R31" s="310"/>
      <c r="S31" s="310"/>
      <c r="T31" s="310"/>
      <c r="U31" s="309"/>
      <c r="V31" s="310"/>
      <c r="W31" s="311"/>
      <c r="X31" s="285"/>
      <c r="Y31" s="285"/>
      <c r="Z31" s="285"/>
      <c r="AA31" s="285"/>
    </row>
    <row r="32" spans="2:27" s="286" customFormat="1" ht="11.25" customHeight="1" thickBot="1" x14ac:dyDescent="0.2">
      <c r="B32" s="439" t="s">
        <v>181</v>
      </c>
      <c r="C32" s="440"/>
      <c r="D32" s="296"/>
      <c r="E32" s="324">
        <f>SUM(E20:E30)</f>
        <v>76231631</v>
      </c>
      <c r="F32" s="324">
        <f>SUM(F20:F30)</f>
        <v>79000</v>
      </c>
      <c r="G32" s="324"/>
      <c r="H32" s="324">
        <f>SUM(H20:H31)</f>
        <v>40504</v>
      </c>
      <c r="I32" s="324"/>
      <c r="J32" s="324">
        <f>SUM(J20:J31)</f>
        <v>1047145</v>
      </c>
      <c r="K32" s="324"/>
      <c r="L32" s="324">
        <f>SUM(L20:L31)</f>
        <v>9628</v>
      </c>
      <c r="M32" s="324">
        <f>SUM(M20:M31)</f>
        <v>571</v>
      </c>
      <c r="N32" s="324">
        <f>SUM(N20:N31)</f>
        <v>-26684</v>
      </c>
      <c r="O32" s="324">
        <f>SUM(O20:O31)</f>
        <v>10677</v>
      </c>
      <c r="P32" s="324"/>
      <c r="Q32" s="324">
        <f>SUM(Q20:Q31)</f>
        <v>-71596</v>
      </c>
      <c r="R32" s="324"/>
      <c r="S32" s="324">
        <f>SUM(S20:S31)</f>
        <v>1089245</v>
      </c>
      <c r="T32" s="324"/>
      <c r="U32" s="324">
        <f>SUM(U20:U31)</f>
        <v>484</v>
      </c>
      <c r="V32" s="324"/>
      <c r="W32" s="325">
        <f>SUM(W20:W30)</f>
        <v>1089729</v>
      </c>
      <c r="X32" s="285"/>
      <c r="Y32" s="285"/>
      <c r="Z32" s="285"/>
      <c r="AA32" s="285"/>
    </row>
    <row r="33" spans="2:27" s="286" customFormat="1" ht="11.25" customHeight="1" x14ac:dyDescent="0.15">
      <c r="B33" s="288"/>
      <c r="C33" s="288"/>
      <c r="D33" s="288"/>
      <c r="E33" s="331"/>
      <c r="F33" s="331"/>
      <c r="G33" s="331"/>
      <c r="H33" s="331"/>
      <c r="I33" s="331"/>
      <c r="J33" s="332"/>
      <c r="K33" s="332"/>
      <c r="L33" s="332"/>
      <c r="M33" s="332"/>
      <c r="N33" s="332"/>
      <c r="O33" s="285"/>
      <c r="P33" s="285"/>
      <c r="Q33" s="285"/>
      <c r="R33" s="285"/>
      <c r="S33" s="285"/>
      <c r="T33" s="285"/>
      <c r="U33" s="285"/>
      <c r="V33" s="285"/>
      <c r="W33" s="275"/>
      <c r="X33" s="285"/>
      <c r="Y33" s="285"/>
      <c r="Z33" s="285"/>
      <c r="AA33" s="285"/>
    </row>
    <row r="34" spans="2:27" s="286" customFormat="1" ht="11.25" customHeight="1" x14ac:dyDescent="0.15">
      <c r="B34" s="288"/>
      <c r="C34" s="288"/>
      <c r="D34" s="288"/>
      <c r="E34" s="331"/>
      <c r="F34" s="331"/>
      <c r="G34" s="331"/>
      <c r="H34" s="331"/>
      <c r="I34" s="331"/>
      <c r="J34" s="332"/>
      <c r="K34" s="332"/>
      <c r="L34" s="332"/>
      <c r="M34" s="332"/>
      <c r="N34" s="332"/>
      <c r="O34" s="333"/>
      <c r="P34" s="285"/>
      <c r="Q34" s="285"/>
      <c r="R34" s="285"/>
      <c r="S34" s="285"/>
      <c r="T34" s="285"/>
      <c r="U34" s="285"/>
      <c r="V34" s="285"/>
      <c r="W34" s="275"/>
      <c r="X34" s="285"/>
      <c r="Y34" s="285"/>
      <c r="Z34" s="285"/>
      <c r="AA34" s="285"/>
    </row>
    <row r="35" spans="2:27" s="286" customFormat="1" ht="11.25" customHeight="1" x14ac:dyDescent="0.15">
      <c r="B35" s="288"/>
      <c r="C35" s="288"/>
      <c r="D35" s="288"/>
      <c r="E35" s="331"/>
      <c r="F35" s="331"/>
      <c r="G35" s="331"/>
      <c r="H35" s="331"/>
      <c r="I35" s="331"/>
      <c r="J35" s="332"/>
      <c r="K35" s="332"/>
      <c r="L35" s="332"/>
      <c r="M35" s="332"/>
      <c r="N35" s="332"/>
      <c r="O35" s="333"/>
      <c r="P35" s="285"/>
      <c r="Q35" s="333"/>
      <c r="R35" s="285"/>
      <c r="S35" s="285"/>
      <c r="T35" s="285"/>
      <c r="U35" s="285"/>
      <c r="V35" s="285"/>
      <c r="W35" s="275"/>
      <c r="X35" s="285"/>
      <c r="Y35" s="285"/>
      <c r="Z35" s="285"/>
      <c r="AA35" s="285"/>
    </row>
    <row r="36" spans="2:27" ht="11.25" customHeight="1" x14ac:dyDescent="0.25"/>
    <row r="37" spans="2:27" ht="11.25" customHeight="1" x14ac:dyDescent="0.25"/>
    <row r="38" spans="2:27" ht="10.5" customHeight="1" x14ac:dyDescent="0.25"/>
    <row r="39" spans="2:27" ht="15" customHeight="1" x14ac:dyDescent="0.25"/>
  </sheetData>
  <mergeCells count="14">
    <mergeCell ref="B1:S1"/>
    <mergeCell ref="B8:C8"/>
    <mergeCell ref="B2:C2"/>
    <mergeCell ref="B3:C3"/>
    <mergeCell ref="L3:O3"/>
    <mergeCell ref="B6:C6"/>
    <mergeCell ref="B30:C30"/>
    <mergeCell ref="B32:C32"/>
    <mergeCell ref="B9:C9"/>
    <mergeCell ref="B16:C16"/>
    <mergeCell ref="B18:C18"/>
    <mergeCell ref="B20:C20"/>
    <mergeCell ref="B22:C22"/>
    <mergeCell ref="B23:C23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&amp;CPage 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037E0F555104F902E5D16CA0A3EF6" ma:contentTypeVersion="9" ma:contentTypeDescription="Create a new document." ma:contentTypeScope="" ma:versionID="44f697550b1eeb297291a88655dfe5e1">
  <xsd:schema xmlns:xsd="http://www.w3.org/2001/XMLSchema" xmlns:xs="http://www.w3.org/2001/XMLSchema" xmlns:p="http://schemas.microsoft.com/office/2006/metadata/properties" xmlns:ns3="79484fb9-75e5-47bb-af24-98016862dfff" xmlns:ns4="b562bb5c-2bcc-446d-a6ab-2c032ef64b30" targetNamespace="http://schemas.microsoft.com/office/2006/metadata/properties" ma:root="true" ma:fieldsID="d56214aee19c5576f1b3a89e04bdb7fe" ns3:_="" ns4:_="">
    <xsd:import namespace="79484fb9-75e5-47bb-af24-98016862dfff"/>
    <xsd:import namespace="b562bb5c-2bcc-446d-a6ab-2c032ef64b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4fb9-75e5-47bb-af24-98016862d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bb5c-2bcc-446d-a6ab-2c032ef64b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33DC04-CEF8-458F-B530-62E7A4C4F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84fb9-75e5-47bb-af24-98016862dfff"/>
    <ds:schemaRef ds:uri="b562bb5c-2bcc-446d-a6ab-2c032ef6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852D8C-B940-4CDE-80CA-201F3F65A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13852B-FCC6-434F-9DC5-21240274B0B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ytd</vt:lpstr>
      <vt:lpstr>Segment Report quarter</vt:lpstr>
      <vt:lpstr>Changes in Equity</vt:lpstr>
      <vt:lpstr>Comp. Income</vt:lpstr>
      <vt:lpstr>IR Contact</vt:lpstr>
      <vt:lpstr>Back Banner</vt:lpstr>
      <vt:lpstr>'Balance Sheet'!Print_Area</vt:lpstr>
      <vt:lpstr>'Changes in Equity'!Print_Area</vt:lpstr>
      <vt:lpstr>'Statement of Cash Flows'!Print_Area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2021-01-13T10:27:49Z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Q4 2015 Results english IFRS.xlsx</vt:lpwstr>
  </property>
  <property fmtid="{D5CDD505-2E9C-101B-9397-08002B2CF9AE}" pid="3" name="ContentTypeId">
    <vt:lpwstr>0x010100FFD037E0F555104F902E5D16CA0A3EF6</vt:lpwstr>
  </property>
</Properties>
</file>